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tabRatio="853"/>
  </bookViews>
  <sheets>
    <sheet name="Avance del ejercicio" sheetId="1" r:id="rId1"/>
    <sheet name="Destino final de los recursos" sheetId="2" r:id="rId2"/>
    <sheet name="Fecha en la que se ejercen" sheetId="3" r:id="rId3"/>
    <sheet name="Fecha de recepción de recursos " sheetId="5" r:id="rId4"/>
    <sheet name="BENEFICENCIA Y PATROCINIOS" sheetId="4" state="hidden" r:id="rId5"/>
  </sheets>
  <definedNames>
    <definedName name="_YEAR">'Avance del ejercicio'!$G$2</definedName>
    <definedName name="RowTitleRegion1..G2">'Avance del ejercicio'!$F$2</definedName>
    <definedName name="Slicer_Account_Title">#N/A</definedName>
    <definedName name="Slicer_Payee">#N/A</definedName>
    <definedName name="Slicer_Payee1">#N/A</definedName>
    <definedName name="Slicer_Requested_by">#N/A</definedName>
    <definedName name="Slicer_Requested_by1">#N/A</definedName>
    <definedName name="Título1">YearToDateTable[[#Headers],[Clausula económica contractual]]</definedName>
    <definedName name="Titulo2">ResumenDeGastosMensuales[[#Headers],[Clausula económica contractual]]</definedName>
    <definedName name="Titulo3">GastosDetallados[[#Headers],[Clausula económica contractual]]</definedName>
    <definedName name="Titulo4">Otros[[#Headers],[Código de contabilidad general]]</definedName>
    <definedName name="_xlnm.Print_Titles" localSheetId="0">'Avance del ejercicio'!$3:$3</definedName>
    <definedName name="_xlnm.Print_Titles" localSheetId="4">'BENEFICENCIA Y PATROCINIOS'!$4:$4</definedName>
    <definedName name="_xlnm.Print_Titles" localSheetId="1">'Destino final de los recursos'!$5:$5</definedName>
    <definedName name="_xlnm.Print_Titles" localSheetId="2">'Fecha en la que se ejercen'!$4:$4</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53" i="3" l="1"/>
  <c r="F154" i="3"/>
  <c r="O16" i="5" l="1"/>
  <c r="N16" i="5"/>
  <c r="M16" i="5"/>
  <c r="L16" i="5"/>
  <c r="K16" i="5"/>
  <c r="J16" i="5"/>
  <c r="I16" i="5"/>
  <c r="H16" i="5"/>
  <c r="G16" i="5"/>
  <c r="F16" i="5"/>
  <c r="E10" i="5"/>
  <c r="E16" i="5" s="1"/>
  <c r="P15" i="5"/>
  <c r="D9" i="1" s="1"/>
  <c r="P14" i="5"/>
  <c r="D8" i="1" s="1"/>
  <c r="P13" i="5"/>
  <c r="D7" i="1" s="1"/>
  <c r="P12" i="5"/>
  <c r="D6" i="1" s="1"/>
  <c r="P11" i="5"/>
  <c r="D5" i="1" s="1"/>
  <c r="D16" i="5"/>
  <c r="F148" i="3"/>
  <c r="F147" i="3"/>
  <c r="F144" i="3"/>
  <c r="F141" i="3"/>
  <c r="F135" i="3"/>
  <c r="F137" i="3"/>
  <c r="F136" i="3"/>
  <c r="F133" i="3"/>
  <c r="F126" i="3"/>
  <c r="P10" i="5" l="1"/>
  <c r="F108" i="3"/>
  <c r="D4" i="1" l="1"/>
  <c r="P16" i="5"/>
  <c r="F110" i="3"/>
  <c r="F104" i="3" l="1"/>
  <c r="F93" i="3"/>
  <c r="F91" i="3"/>
  <c r="F85" i="3"/>
  <c r="F80" i="3"/>
  <c r="F92" i="3"/>
  <c r="F90" i="3"/>
  <c r="F43" i="3" l="1"/>
  <c r="F38" i="3"/>
  <c r="F33" i="3"/>
  <c r="F59" i="3"/>
  <c r="F51" i="3"/>
  <c r="F45" i="3"/>
  <c r="F70" i="3" l="1"/>
  <c r="F9" i="3" l="1"/>
  <c r="F10" i="3"/>
  <c r="F27" i="3"/>
  <c r="F15" i="3"/>
  <c r="G2" i="1" l="1"/>
  <c r="O3" i="2" s="1"/>
  <c r="J3" i="2" l="1"/>
  <c r="J4" i="2" s="1"/>
  <c r="K3" i="2"/>
  <c r="D3" i="2"/>
  <c r="D4" i="2" s="1"/>
  <c r="G3" i="2"/>
  <c r="N3" i="2"/>
  <c r="L3" i="2"/>
  <c r="F3" i="2"/>
  <c r="E3" i="2"/>
  <c r="M3" i="2"/>
  <c r="I3" i="2"/>
  <c r="H3" i="2"/>
  <c r="N4" i="2" l="1"/>
  <c r="M4" i="2"/>
  <c r="M6" i="2" s="1"/>
  <c r="L4" i="2"/>
  <c r="J7" i="2"/>
  <c r="J8" i="2"/>
  <c r="J10" i="2"/>
  <c r="J6" i="2"/>
  <c r="J9" i="2"/>
  <c r="J11" i="2"/>
  <c r="H4" i="2"/>
  <c r="G4" i="2"/>
  <c r="F4" i="2"/>
  <c r="E4" i="2"/>
  <c r="D7" i="2"/>
  <c r="D8" i="2"/>
  <c r="D10" i="2"/>
  <c r="D6" i="2"/>
  <c r="D9" i="2"/>
  <c r="D11" i="2"/>
  <c r="I4" i="2"/>
  <c r="K4" i="2"/>
  <c r="O4" i="2"/>
  <c r="M7" i="2" l="1"/>
  <c r="N10" i="2"/>
  <c r="N11" i="2"/>
  <c r="N8" i="2"/>
  <c r="L10" i="2"/>
  <c r="M11" i="2"/>
  <c r="O8" i="2"/>
  <c r="O6" i="2"/>
  <c r="O9" i="2"/>
  <c r="O7" i="2"/>
  <c r="O10" i="2"/>
  <c r="O11" i="2"/>
  <c r="M10" i="2"/>
  <c r="G10" i="2"/>
  <c r="L11" i="2"/>
  <c r="L7" i="2"/>
  <c r="N7" i="2"/>
  <c r="N9" i="2"/>
  <c r="N6" i="2"/>
  <c r="G11" i="2"/>
  <c r="G7" i="2"/>
  <c r="M8" i="2"/>
  <c r="M9" i="2"/>
  <c r="L9" i="2"/>
  <c r="L6" i="2"/>
  <c r="L8" i="2"/>
  <c r="K11" i="2"/>
  <c r="K10" i="2"/>
  <c r="K7" i="2"/>
  <c r="K9" i="2"/>
  <c r="K6" i="2"/>
  <c r="K8" i="2"/>
  <c r="G9" i="2"/>
  <c r="G6" i="2"/>
  <c r="G8" i="2"/>
  <c r="H10" i="2"/>
  <c r="E10" i="2"/>
  <c r="H11" i="2"/>
  <c r="H7" i="2"/>
  <c r="I11" i="2"/>
  <c r="I10" i="2"/>
  <c r="I7" i="2"/>
  <c r="I9" i="2"/>
  <c r="I6" i="2"/>
  <c r="I8" i="2"/>
  <c r="E11" i="2"/>
  <c r="E7" i="2"/>
  <c r="F10" i="2"/>
  <c r="H9" i="2"/>
  <c r="H6" i="2"/>
  <c r="H8" i="2"/>
  <c r="F11" i="2"/>
  <c r="F7" i="2"/>
  <c r="F9" i="2"/>
  <c r="F6" i="2"/>
  <c r="F8" i="2"/>
  <c r="E9" i="2"/>
  <c r="E6" i="2"/>
  <c r="E8" i="2"/>
  <c r="J12" i="2"/>
  <c r="D12" i="2"/>
  <c r="L12" i="2" l="1"/>
  <c r="N12" i="2"/>
  <c r="G12" i="2"/>
  <c r="M12" i="2"/>
  <c r="P9" i="2"/>
  <c r="E12" i="2"/>
  <c r="F12" i="2"/>
  <c r="H12" i="2"/>
  <c r="O12" i="2"/>
  <c r="K12" i="2"/>
  <c r="I12" i="2"/>
  <c r="P6" i="2"/>
  <c r="P8" i="2"/>
  <c r="P10" i="2"/>
  <c r="P11" i="2"/>
  <c r="P7" i="2"/>
  <c r="E9" i="1" l="1"/>
  <c r="F9" i="1" s="1"/>
  <c r="G9" i="1" s="1"/>
  <c r="E8" i="1"/>
  <c r="F8" i="1" s="1"/>
  <c r="G8" i="1" s="1"/>
  <c r="E4" i="1"/>
  <c r="E5" i="1"/>
  <c r="F5" i="1" s="1"/>
  <c r="G5" i="1" s="1"/>
  <c r="E6" i="1"/>
  <c r="F6" i="1" s="1"/>
  <c r="G6" i="1" s="1"/>
  <c r="E7" i="1"/>
  <c r="P12" i="2"/>
  <c r="F7" i="1" l="1"/>
  <c r="G7" i="1" s="1"/>
  <c r="F4" i="1"/>
  <c r="G4" i="1" s="1"/>
  <c r="E10" i="1"/>
  <c r="D10" i="1"/>
  <c r="F10" i="1" l="1"/>
  <c r="G10" i="1" s="1"/>
</calcChain>
</file>

<file path=xl/sharedStrings.xml><?xml version="1.0" encoding="utf-8"?>
<sst xmlns="http://schemas.openxmlformats.org/spreadsheetml/2006/main" count="1091" uniqueCount="121">
  <si>
    <t>Código de contabilidad general</t>
  </si>
  <si>
    <t>Total</t>
  </si>
  <si>
    <t>AÑO</t>
  </si>
  <si>
    <t xml:space="preserve">RESTANTES EN % </t>
  </si>
  <si>
    <t>Segmentación para filtrar los datos por los títulos de cuenta en esta celda.</t>
  </si>
  <si>
    <t>Enero</t>
  </si>
  <si>
    <t>Febrero</t>
  </si>
  <si>
    <t>Marzo</t>
  </si>
  <si>
    <t>Abril</t>
  </si>
  <si>
    <t>Mayo</t>
  </si>
  <si>
    <t>Junio</t>
  </si>
  <si>
    <t>Julio</t>
  </si>
  <si>
    <t>Agosto</t>
  </si>
  <si>
    <t>Septiembre</t>
  </si>
  <si>
    <t>Octubre</t>
  </si>
  <si>
    <t>Noviembre</t>
  </si>
  <si>
    <t>Diciembre</t>
  </si>
  <si>
    <t xml:space="preserve"> </t>
  </si>
  <si>
    <t>Fecha</t>
  </si>
  <si>
    <t>N.º de factura</t>
  </si>
  <si>
    <t>Solicitado por</t>
  </si>
  <si>
    <t>Importe del cheque</t>
  </si>
  <si>
    <t>Beneficiario</t>
  </si>
  <si>
    <t>Método de distribución</t>
  </si>
  <si>
    <t>Fecha del archivo</t>
  </si>
  <si>
    <t>BENEFICENCIA Y PATROCINIOS</t>
  </si>
  <si>
    <t xml:space="preserve">Fecha de solicitud del cheque </t>
  </si>
  <si>
    <t>Isabel Robledo</t>
  </si>
  <si>
    <t>Contribución año anterior</t>
  </si>
  <si>
    <t xml:space="preserve">Escuela de bellas artes </t>
  </si>
  <si>
    <t xml:space="preserve">Semuendera </t>
  </si>
  <si>
    <t>Usado para</t>
  </si>
  <si>
    <t>Becas</t>
  </si>
  <si>
    <t>Comunidad</t>
  </si>
  <si>
    <t>Aprobado por</t>
  </si>
  <si>
    <t>Pedro Armijo</t>
  </si>
  <si>
    <t>Elvira Cano</t>
  </si>
  <si>
    <t>Categoría</t>
  </si>
  <si>
    <t>Arte</t>
  </si>
  <si>
    <t>Cheque</t>
  </si>
  <si>
    <t>Actividades sindicales</t>
  </si>
  <si>
    <t>Actividades Sociales</t>
  </si>
  <si>
    <t>Apoyo Comedor y Sala</t>
  </si>
  <si>
    <t>Gastos revisión contractual</t>
  </si>
  <si>
    <t>Colección estudios sindicales</t>
  </si>
  <si>
    <t>Judith Domínguez</t>
  </si>
  <si>
    <t>RESTANTES EN $</t>
  </si>
  <si>
    <t>Ma Eugenia Negrete</t>
  </si>
  <si>
    <t>Consejo Directivo</t>
  </si>
  <si>
    <t xml:space="preserve">Transferencia </t>
  </si>
  <si>
    <t>Seminario Reforma Laboral 2019</t>
  </si>
  <si>
    <t>S/N</t>
  </si>
  <si>
    <t>Insumos Sala de Profesores</t>
  </si>
  <si>
    <t>Caja Chica</t>
  </si>
  <si>
    <t>Gasolina</t>
  </si>
  <si>
    <t>Flores Comedor de Profesores</t>
  </si>
  <si>
    <t>Lavado de auto SIPRIN</t>
  </si>
  <si>
    <t>Formación sindical</t>
  </si>
  <si>
    <t>N46ATG</t>
  </si>
  <si>
    <t>UBER</t>
  </si>
  <si>
    <t>Insumos Comedor de Profesores</t>
  </si>
  <si>
    <t>ASIGNADO</t>
  </si>
  <si>
    <t>Despacho legal</t>
  </si>
  <si>
    <t>Tenencia vehículo SIPRIN</t>
  </si>
  <si>
    <t>Comida de trabajo sindical</t>
  </si>
  <si>
    <t>Automóvil sindical</t>
  </si>
  <si>
    <t>Servicio de telefonía celular</t>
  </si>
  <si>
    <t>Papelería</t>
  </si>
  <si>
    <t>Tarjeta 2° piso Periférico</t>
  </si>
  <si>
    <t>Comedor de Profesores</t>
  </si>
  <si>
    <t>Sala de Profesores</t>
  </si>
  <si>
    <t>Oficina sindical</t>
  </si>
  <si>
    <t>Agremiados</t>
  </si>
  <si>
    <t>Egreso</t>
  </si>
  <si>
    <t>Ingreso</t>
  </si>
  <si>
    <t>Apoyo comidas 104</t>
  </si>
  <si>
    <t>Apoyo comidas 147</t>
  </si>
  <si>
    <t>Apoyo comidas 177</t>
  </si>
  <si>
    <t>Apoyo comidas 185</t>
  </si>
  <si>
    <t>Apoyo comidas 142</t>
  </si>
  <si>
    <t>Apoyo comidas 181</t>
  </si>
  <si>
    <t>Apoyo comidas 151</t>
  </si>
  <si>
    <t>Apoyo comidas 158</t>
  </si>
  <si>
    <t>Apoyo comidas 148</t>
  </si>
  <si>
    <t>Apoyo comidas 143</t>
  </si>
  <si>
    <t>Apoyo comidas 105</t>
  </si>
  <si>
    <t>Apoyo comidas 144</t>
  </si>
  <si>
    <t>Apoyo comidas 154</t>
  </si>
  <si>
    <t>Apoyo comidas 150</t>
  </si>
  <si>
    <t>Apoyo comidas 140</t>
  </si>
  <si>
    <t>Apoyo comidas 109</t>
  </si>
  <si>
    <t>Apoyo comidas 161</t>
  </si>
  <si>
    <t>Apoyo comidas 79</t>
  </si>
  <si>
    <t>Apoyo comidas 141</t>
  </si>
  <si>
    <t>Apoyo comidas 136</t>
  </si>
  <si>
    <t>Apoyo comidas 124</t>
  </si>
  <si>
    <t>Apoyo comidas 106</t>
  </si>
  <si>
    <t>Apoyo comidas 112</t>
  </si>
  <si>
    <t>Honorarios Revisión Contractual</t>
  </si>
  <si>
    <t>RECURSOS ECONOMICOS CONTRACTUALES</t>
  </si>
  <si>
    <t xml:space="preserve">FECHA EN LA QUE SE EJERCEN LOS RECURSOS ECONOMICOS CONTRACTUALES </t>
  </si>
  <si>
    <t>DESTINO FINAL DE LOS RECURSOS</t>
  </si>
  <si>
    <t>Fecha(s) o periodo(s) en que se ejercen los recursos (día/mes/año)</t>
  </si>
  <si>
    <t>Destino final de los recursos</t>
  </si>
  <si>
    <t>Clausula económica contractual</t>
  </si>
  <si>
    <t>Avance del ejercicio de los recursos (ingresos vs. egresos)</t>
  </si>
  <si>
    <t>Descripción</t>
  </si>
  <si>
    <t>Importe</t>
  </si>
  <si>
    <t>Uso</t>
  </si>
  <si>
    <t>María Eugenia Negrete</t>
  </si>
  <si>
    <t>Clases de Tai-chi</t>
  </si>
  <si>
    <t>Apoyo comidas 87</t>
  </si>
  <si>
    <t>Apoyo comidas 82</t>
  </si>
  <si>
    <t>Apoyo comidas 75</t>
  </si>
  <si>
    <t>Apoyo comidas 89</t>
  </si>
  <si>
    <t xml:space="preserve">Copias certificadas </t>
  </si>
  <si>
    <t>Apoyo comidas 169</t>
  </si>
  <si>
    <t>Clases de ajedrez</t>
  </si>
  <si>
    <t>Apoyo comidas 138</t>
  </si>
  <si>
    <t>Apoyo comidas 130</t>
  </si>
  <si>
    <t>Apoyo comidas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</si>
</sst>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0.00\ &quot;€&quot;"/>
    <numFmt numFmtId="165" formatCode="_-* #,##0.00\ &quot;€&quot;_-;\-* #,##0.00\ &quot;€&quot;_-;_-* &quot;-&quot;??\ &quot;€&quot;_-;_-@_-"/>
    <numFmt numFmtId="166" formatCode="_(* #,##0_);_(* \(#,##0\);_(* &quot;-&quot;_);_(@_)"/>
    <numFmt numFmtId="167" formatCode="0_ ;\-0\ "/>
    <numFmt numFmtId="168" formatCode="_-[$$-80A]* #,##0.00_-;\-[$$-80A]* #,##0.00_-;_-[$$-80A]* &quot;-&quot;??_-;_-@_-"/>
  </numFmts>
  <fonts count="35" x14ac:knownFonts="1">
    <font>
      <sz val="11"/>
      <color theme="1" tint="-0.24994659260841701"/>
      <name val="Gill Sans MT"/>
      <family val="2"/>
      <scheme val="minor"/>
    </font>
    <font>
      <sz val="11"/>
      <color theme="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2"/>
      <color theme="1" tint="-0.24994659260841701"/>
      <name val="Gill Sans MT"/>
      <family val="2"/>
      <scheme val="minor"/>
    </font>
    <font>
      <sz val="18"/>
      <color theme="3"/>
      <name val="Gill Sans MT"/>
      <family val="2"/>
      <scheme val="maj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
      <sz val="11"/>
      <color theme="1" tint="-0.249977111117893"/>
      <name val="Gill Sans MT"/>
      <family val="2"/>
    </font>
    <font>
      <sz val="11"/>
      <color theme="1"/>
      <name val="Century Gothic"/>
      <family val="2"/>
    </font>
    <font>
      <b/>
      <sz val="11"/>
      <color theme="1"/>
      <name val="Century Gothic"/>
      <family val="2"/>
    </font>
    <font>
      <b/>
      <sz val="36"/>
      <color theme="0"/>
      <name val="Gill Sans MT"/>
      <family val="2"/>
      <scheme val="minor"/>
    </font>
    <font>
      <b/>
      <sz val="18"/>
      <color theme="0"/>
      <name val="Gill Sans MT"/>
      <family val="2"/>
    </font>
    <font>
      <b/>
      <sz val="12"/>
      <color rgb="FFF2F2F2"/>
      <name val="Gill Sans MT"/>
      <family val="2"/>
      <scheme val="minor"/>
    </font>
    <font>
      <sz val="28"/>
      <color theme="1" tint="-0.24994659260841701"/>
      <name val="Gill Sans MT"/>
      <family val="2"/>
    </font>
    <font>
      <b/>
      <sz val="22"/>
      <color theme="0"/>
      <name val="Gill Sans MT"/>
      <family val="2"/>
    </font>
    <font>
      <sz val="11"/>
      <color theme="1" tint="-0.249977111117893"/>
      <name val="Gill Sans MT"/>
    </font>
  </fonts>
  <fills count="43">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3" tint="0.499984740745262"/>
        <bgColor indexed="64"/>
      </patternFill>
    </fill>
    <fill>
      <patternFill patternType="solid">
        <fgColor rgb="FF002060"/>
        <bgColor theme="9"/>
      </patternFill>
    </fill>
    <fill>
      <patternFill patternType="solid">
        <fgColor rgb="FF66FFFF"/>
        <bgColor indexed="64"/>
      </patternFill>
    </fill>
    <fill>
      <patternFill patternType="solid">
        <fgColor rgb="FFFFFF66"/>
        <bgColor indexed="64"/>
      </patternFill>
    </fill>
  </fills>
  <borders count="23">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79998168889431442"/>
      </left>
      <right style="thin">
        <color theme="1" tint="0.79998168889431442"/>
      </right>
      <top style="thin">
        <color theme="1" tint="0.7999816888943144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alignment vertical="center" wrapText="1"/>
    </xf>
    <xf numFmtId="0" fontId="3" fillId="0" borderId="1" applyNumberFormat="0" applyFill="0" applyAlignment="0" applyProtection="0"/>
    <xf numFmtId="0" fontId="3" fillId="0" borderId="4" applyNumberFormat="0" applyFill="0" applyAlignment="0" applyProtection="0"/>
    <xf numFmtId="0" fontId="3"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alignment vertical="center" wrapText="1"/>
    </xf>
    <xf numFmtId="167" fontId="6" fillId="0" borderId="0" applyFont="0" applyFill="0" applyBorder="0" applyAlignment="0" applyProtection="0"/>
    <xf numFmtId="164"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xf numFmtId="166" fontId="6" fillId="0" borderId="0" applyFont="0" applyFill="0" applyBorder="0" applyAlignment="0" applyProtection="0"/>
    <xf numFmtId="165" fontId="6" fillId="0" borderId="0" applyFont="0" applyFill="0" applyBorder="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12" applyNumberFormat="0" applyAlignment="0" applyProtection="0"/>
    <xf numFmtId="0" fontId="19" fillId="11" borderId="13" applyNumberFormat="0" applyAlignment="0" applyProtection="0"/>
    <xf numFmtId="0" fontId="20" fillId="11" borderId="12" applyNumberFormat="0" applyAlignment="0" applyProtection="0"/>
    <xf numFmtId="0" fontId="21" fillId="0" borderId="14" applyNumberFormat="0" applyFill="0" applyAlignment="0" applyProtection="0"/>
    <xf numFmtId="0" fontId="22" fillId="12" borderId="15" applyNumberFormat="0" applyAlignment="0" applyProtection="0"/>
    <xf numFmtId="0" fontId="23" fillId="0" borderId="0" applyNumberFormat="0" applyFill="0" applyBorder="0" applyAlignment="0" applyProtection="0"/>
    <xf numFmtId="0" fontId="6" fillId="13" borderId="16" applyNumberFormat="0" applyFont="0" applyAlignment="0" applyProtection="0"/>
    <xf numFmtId="0" fontId="24" fillId="0" borderId="0" applyNumberFormat="0" applyFill="0" applyBorder="0" applyAlignment="0" applyProtection="0"/>
    <xf numFmtId="0" fontId="25" fillId="0" borderId="17" applyNumberFormat="0" applyFill="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06">
    <xf numFmtId="0" fontId="0" fillId="0" borderId="0" xfId="0">
      <alignment vertical="center" wrapText="1"/>
    </xf>
    <xf numFmtId="14" fontId="2" fillId="0" borderId="0" xfId="0" applyNumberFormat="1" applyFont="1">
      <alignment vertical="center" wrapText="1"/>
    </xf>
    <xf numFmtId="0" fontId="2" fillId="0" borderId="0" xfId="0" applyFont="1">
      <alignment vertical="center" wrapText="1"/>
    </xf>
    <xf numFmtId="0" fontId="5" fillId="0" borderId="0" xfId="5" applyFont="1">
      <alignment vertical="center" wrapText="1"/>
    </xf>
    <xf numFmtId="0" fontId="2" fillId="0" borderId="0" xfId="0" applyFont="1" applyAlignment="1">
      <alignment horizontal="center" vertical="center" wrapText="1"/>
    </xf>
    <xf numFmtId="167" fontId="7" fillId="0" borderId="5" xfId="6" applyFont="1" applyBorder="1" applyAlignment="1">
      <alignment horizontal="center" vertical="center"/>
    </xf>
    <xf numFmtId="0" fontId="7" fillId="0" borderId="5" xfId="0" applyFont="1" applyBorder="1" applyAlignment="1">
      <alignment horizontal="center" vertical="center" wrapText="1"/>
    </xf>
    <xf numFmtId="164" fontId="7" fillId="0" borderId="5" xfId="7" applyFont="1" applyBorder="1" applyAlignment="1">
      <alignment horizontal="center" vertical="center" wrapText="1"/>
    </xf>
    <xf numFmtId="167" fontId="7" fillId="3" borderId="5" xfId="6" applyFont="1" applyFill="1" applyBorder="1" applyAlignment="1">
      <alignment horizontal="center" vertical="center"/>
    </xf>
    <xf numFmtId="0" fontId="7" fillId="3" borderId="5" xfId="0" applyFont="1" applyFill="1" applyBorder="1" applyAlignment="1">
      <alignment horizontal="center" vertical="center" wrapText="1"/>
    </xf>
    <xf numFmtId="164" fontId="7" fillId="3" borderId="5" xfId="7" applyFont="1" applyFill="1" applyBorder="1" applyAlignment="1">
      <alignment horizontal="center" vertical="center" wrapText="1"/>
    </xf>
    <xf numFmtId="167" fontId="7" fillId="4" borderId="6" xfId="6" applyFont="1" applyFill="1" applyBorder="1" applyAlignment="1">
      <alignment horizontal="center" vertical="center"/>
    </xf>
    <xf numFmtId="14" fontId="7" fillId="4" borderId="6" xfId="9" applyFont="1" applyFill="1" applyBorder="1" applyAlignment="1">
      <alignment horizontal="center" vertical="center" wrapText="1"/>
    </xf>
    <xf numFmtId="0" fontId="7" fillId="4" borderId="6" xfId="0" applyFont="1" applyFill="1" applyBorder="1" applyAlignment="1">
      <alignment horizontal="center" vertical="center" wrapText="1"/>
    </xf>
    <xf numFmtId="164" fontId="7" fillId="4" borderId="6" xfId="7" applyFont="1" applyFill="1" applyBorder="1" applyAlignment="1">
      <alignment horizontal="center" vertical="center" wrapText="1"/>
    </xf>
    <xf numFmtId="167" fontId="7" fillId="4" borderId="5" xfId="6" applyFont="1" applyFill="1" applyBorder="1" applyAlignment="1">
      <alignment horizontal="center" vertical="center"/>
    </xf>
    <xf numFmtId="14" fontId="7" fillId="4" borderId="5" xfId="9" applyFont="1" applyFill="1" applyBorder="1" applyAlignment="1">
      <alignment horizontal="center" vertical="center" wrapText="1"/>
    </xf>
    <xf numFmtId="0" fontId="7" fillId="4" borderId="5" xfId="0" applyFont="1" applyFill="1" applyBorder="1" applyAlignment="1">
      <alignment horizontal="center" vertical="center" wrapText="1"/>
    </xf>
    <xf numFmtId="164" fontId="7" fillId="4" borderId="5" xfId="7"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167" fontId="6" fillId="0" borderId="5" xfId="6" applyBorder="1" applyAlignment="1">
      <alignment horizontal="center" vertical="center"/>
    </xf>
    <xf numFmtId="10" fontId="6" fillId="0" borderId="5" xfId="8"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lignment vertical="center" wrapText="1"/>
    </xf>
    <xf numFmtId="0" fontId="13" fillId="0" borderId="10" xfId="0" applyFont="1" applyBorder="1">
      <alignment vertical="center" wrapText="1"/>
    </xf>
    <xf numFmtId="168" fontId="6" fillId="0" borderId="5" xfId="7" applyNumberFormat="1" applyBorder="1" applyAlignment="1">
      <alignment horizontal="center" vertical="center" wrapText="1"/>
    </xf>
    <xf numFmtId="168" fontId="6" fillId="0" borderId="5" xfId="7" applyNumberFormat="1" applyBorder="1" applyAlignment="1">
      <alignment horizontal="right" vertical="center" wrapText="1"/>
    </xf>
    <xf numFmtId="0" fontId="0" fillId="0" borderId="5" xfId="0" applyFont="1" applyBorder="1" applyAlignment="1">
      <alignment horizontal="left" vertical="center" wrapText="1" indent="2"/>
    </xf>
    <xf numFmtId="168" fontId="7" fillId="0" borderId="5" xfId="7" applyNumberFormat="1" applyFont="1" applyBorder="1" applyAlignment="1">
      <alignment horizontal="center" vertical="center" wrapText="1"/>
    </xf>
    <xf numFmtId="168" fontId="7" fillId="3" borderId="5" xfId="7" applyNumberFormat="1" applyFont="1" applyFill="1" applyBorder="1" applyAlignment="1">
      <alignment horizontal="center" vertical="center" wrapText="1"/>
    </xf>
    <xf numFmtId="167" fontId="26" fillId="0" borderId="18" xfId="6" applyFont="1" applyBorder="1" applyAlignment="1">
      <alignment horizontal="center" vertical="center"/>
    </xf>
    <xf numFmtId="14" fontId="26" fillId="0" borderId="18" xfId="9" applyNumberFormat="1" applyFont="1" applyFill="1" applyBorder="1" applyAlignment="1">
      <alignment horizontal="center" vertical="center" wrapText="1"/>
    </xf>
    <xf numFmtId="167" fontId="26" fillId="0" borderId="18" xfId="6" applyFont="1" applyBorder="1" applyAlignment="1">
      <alignment horizontal="center" vertical="center" wrapText="1"/>
    </xf>
    <xf numFmtId="0" fontId="26" fillId="0" borderId="18" xfId="0" applyFont="1" applyBorder="1" applyAlignment="1">
      <alignment horizontal="center" vertical="center" wrapText="1"/>
    </xf>
    <xf numFmtId="168" fontId="26" fillId="0" borderId="18" xfId="11" applyNumberFormat="1" applyFont="1" applyBorder="1" applyAlignment="1">
      <alignment horizontal="center" vertical="center" wrapText="1"/>
    </xf>
    <xf numFmtId="14" fontId="26" fillId="0" borderId="18" xfId="9" applyFont="1" applyFill="1" applyBorder="1" applyAlignment="1">
      <alignment horizontal="center" vertical="center" wrapText="1"/>
    </xf>
    <xf numFmtId="0" fontId="27" fillId="0" borderId="0" xfId="0" applyFont="1" applyAlignment="1"/>
    <xf numFmtId="0" fontId="27" fillId="0" borderId="19" xfId="0" applyFont="1" applyBorder="1" applyAlignment="1"/>
    <xf numFmtId="168" fontId="27" fillId="0" borderId="19" xfId="11" applyNumberFormat="1" applyFont="1" applyBorder="1"/>
    <xf numFmtId="0" fontId="27" fillId="0" borderId="19" xfId="0" applyFont="1" applyBorder="1" applyAlignment="1">
      <alignment horizontal="center"/>
    </xf>
    <xf numFmtId="168" fontId="27" fillId="0" borderId="19" xfId="11" applyNumberFormat="1" applyFont="1" applyBorder="1" applyAlignment="1"/>
    <xf numFmtId="168" fontId="28" fillId="0" borderId="19" xfId="0" applyNumberFormat="1" applyFont="1" applyBorder="1" applyAlignment="1"/>
    <xf numFmtId="168" fontId="28" fillId="0" borderId="0" xfId="0" applyNumberFormat="1" applyFont="1" applyAlignment="1"/>
    <xf numFmtId="168" fontId="28" fillId="0" borderId="0" xfId="11" applyNumberFormat="1" applyFont="1" applyAlignment="1"/>
    <xf numFmtId="0" fontId="30" fillId="2" borderId="0" xfId="1" applyFont="1" applyFill="1" applyBorder="1" applyAlignment="1">
      <alignment horizontal="center" vertical="center"/>
    </xf>
    <xf numFmtId="167" fontId="26" fillId="0" borderId="18" xfId="6" applyFont="1" applyFill="1" applyBorder="1" applyAlignment="1">
      <alignment horizontal="center" vertical="center"/>
    </xf>
    <xf numFmtId="167" fontId="26" fillId="0" borderId="18" xfId="6" applyFont="1" applyFill="1" applyBorder="1" applyAlignment="1">
      <alignment horizontal="center" vertical="center" wrapText="1"/>
    </xf>
    <xf numFmtId="0" fontId="26" fillId="0" borderId="18" xfId="0" applyFont="1" applyFill="1" applyBorder="1" applyAlignment="1">
      <alignment horizontal="center" vertical="center" wrapText="1"/>
    </xf>
    <xf numFmtId="168" fontId="26" fillId="0" borderId="18" xfId="11"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67" fontId="26" fillId="0" borderId="11" xfId="6" applyFont="1" applyBorder="1" applyAlignment="1">
      <alignment horizontal="center" vertical="center"/>
    </xf>
    <xf numFmtId="14" fontId="26" fillId="0" borderId="11" xfId="9" applyNumberFormat="1" applyFont="1" applyFill="1" applyBorder="1" applyAlignment="1">
      <alignment horizontal="center" vertical="center" wrapText="1"/>
    </xf>
    <xf numFmtId="0" fontId="26" fillId="0" borderId="11" xfId="0" applyFont="1" applyBorder="1" applyAlignment="1">
      <alignment horizontal="center" vertical="center" wrapText="1"/>
    </xf>
    <xf numFmtId="0" fontId="8" fillId="4" borderId="18" xfId="0" applyFont="1" applyFill="1" applyBorder="1" applyAlignment="1">
      <alignment horizontal="center" vertical="center" wrapText="1"/>
    </xf>
    <xf numFmtId="0" fontId="26" fillId="0" borderId="7" xfId="0" applyFont="1" applyBorder="1" applyAlignment="1">
      <alignment horizontal="center" vertical="center" wrapText="1"/>
    </xf>
    <xf numFmtId="14" fontId="26" fillId="0" borderId="11" xfId="9"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1" xfId="0" applyFont="1" applyFill="1" applyBorder="1" applyAlignment="1">
      <alignment horizontal="center" vertical="center" wrapText="1"/>
    </xf>
    <xf numFmtId="10" fontId="0" fillId="0" borderId="0" xfId="8" applyFont="1" applyAlignment="1">
      <alignment vertical="center" wrapText="1"/>
    </xf>
    <xf numFmtId="168" fontId="0" fillId="0" borderId="0" xfId="0" applyNumberFormat="1">
      <alignment vertical="center" wrapText="1"/>
    </xf>
    <xf numFmtId="0" fontId="13" fillId="0" borderId="5" xfId="0" applyFont="1" applyBorder="1" applyAlignment="1">
      <alignment horizontal="center" vertical="center" wrapText="1"/>
    </xf>
    <xf numFmtId="168" fontId="13" fillId="0" borderId="5" xfId="0" applyNumberFormat="1" applyFont="1" applyBorder="1" applyAlignment="1">
      <alignment horizontal="center" vertical="center" wrapText="1"/>
    </xf>
    <xf numFmtId="10" fontId="13" fillId="0" borderId="5" xfId="0" applyNumberFormat="1" applyFont="1" applyBorder="1" applyAlignment="1">
      <alignment horizontal="center" vertical="center" wrapText="1"/>
    </xf>
    <xf numFmtId="0" fontId="28" fillId="38" borderId="19" xfId="0" applyFont="1" applyFill="1" applyBorder="1" applyAlignment="1">
      <alignment horizontal="center"/>
    </xf>
    <xf numFmtId="0" fontId="8" fillId="0" borderId="18" xfId="0" applyFont="1" applyBorder="1" applyAlignment="1">
      <alignment horizontal="center" vertical="center" wrapText="1"/>
    </xf>
    <xf numFmtId="167" fontId="26" fillId="0" borderId="11" xfId="6" applyFont="1" applyBorder="1" applyAlignment="1">
      <alignment horizontal="center" vertical="center" wrapText="1"/>
    </xf>
    <xf numFmtId="168" fontId="26" fillId="0" borderId="11" xfId="11" applyNumberFormat="1" applyFont="1" applyBorder="1" applyAlignment="1">
      <alignment horizontal="center" vertical="center" wrapText="1"/>
    </xf>
    <xf numFmtId="14" fontId="28" fillId="38" borderId="19" xfId="0" applyNumberFormat="1" applyFont="1" applyFill="1" applyBorder="1" applyAlignment="1">
      <alignment horizontal="center"/>
    </xf>
    <xf numFmtId="0" fontId="31" fillId="40" borderId="8" xfId="0" applyFont="1" applyFill="1" applyBorder="1" applyAlignment="1">
      <alignment horizontal="center" vertical="center" wrapText="1"/>
    </xf>
    <xf numFmtId="0" fontId="31" fillId="40" borderId="9"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8" fontId="7" fillId="5" borderId="5" xfId="0" applyNumberFormat="1" applyFont="1" applyFill="1" applyBorder="1" applyAlignment="1">
      <alignment horizontal="center" vertical="center" wrapText="1"/>
    </xf>
    <xf numFmtId="0" fontId="33" fillId="2" borderId="0" xfId="1" applyFont="1" applyFill="1" applyBorder="1" applyAlignment="1">
      <alignment horizontal="center" vertical="center"/>
    </xf>
    <xf numFmtId="0" fontId="12" fillId="41" borderId="0" xfId="2" applyFont="1" applyFill="1" applyBorder="1" applyAlignment="1">
      <alignment vertical="center"/>
    </xf>
    <xf numFmtId="0" fontId="11" fillId="41" borderId="0" xfId="2" applyFont="1" applyFill="1" applyBorder="1" applyAlignment="1">
      <alignment vertical="center"/>
    </xf>
    <xf numFmtId="0" fontId="0" fillId="3" borderId="0" xfId="0" applyFill="1" applyAlignment="1">
      <alignment horizontal="center" vertical="center" wrapText="1"/>
    </xf>
    <xf numFmtId="0" fontId="32" fillId="42" borderId="20" xfId="3" applyFont="1" applyFill="1" applyBorder="1" applyAlignment="1">
      <alignment horizontal="center" vertical="center"/>
    </xf>
    <xf numFmtId="0" fontId="32" fillId="42" borderId="21" xfId="3" applyFont="1" applyFill="1" applyBorder="1" applyAlignment="1">
      <alignment horizontal="center" vertical="center"/>
    </xf>
    <xf numFmtId="0" fontId="32" fillId="42" borderId="22" xfId="3" applyFont="1" applyFill="1" applyBorder="1" applyAlignment="1">
      <alignment horizontal="center" vertical="center"/>
    </xf>
    <xf numFmtId="0" fontId="28" fillId="38" borderId="19" xfId="0" applyFont="1" applyFill="1" applyBorder="1" applyAlignment="1">
      <alignment horizontal="center"/>
    </xf>
    <xf numFmtId="0" fontId="29" fillId="39" borderId="0" xfId="0" applyFont="1" applyFill="1" applyAlignment="1">
      <alignment horizontal="center" vertical="center" wrapText="1"/>
    </xf>
    <xf numFmtId="0" fontId="7" fillId="3" borderId="0" xfId="0" applyFont="1" applyFill="1" applyAlignment="1">
      <alignment horizontal="center" vertical="center" wrapText="1"/>
    </xf>
    <xf numFmtId="0" fontId="11" fillId="5" borderId="0" xfId="4" applyFont="1" applyFill="1" applyBorder="1" applyAlignment="1">
      <alignment vertical="center"/>
    </xf>
    <xf numFmtId="0" fontId="8" fillId="0" borderId="7" xfId="0" applyFont="1" applyBorder="1" applyAlignment="1">
      <alignment horizontal="center" vertical="center" wrapText="1"/>
    </xf>
    <xf numFmtId="167" fontId="34" fillId="0" borderId="7" xfId="6" applyFont="1" applyBorder="1" applyAlignment="1">
      <alignment horizontal="center" vertical="center"/>
    </xf>
    <xf numFmtId="14" fontId="34" fillId="0" borderId="7" xfId="9" applyNumberFormat="1" applyFont="1" applyFill="1" applyBorder="1" applyAlignment="1">
      <alignment horizontal="center" vertical="center" wrapText="1"/>
    </xf>
    <xf numFmtId="167" fontId="34" fillId="0" borderId="7" xfId="6" applyFont="1" applyBorder="1" applyAlignment="1">
      <alignment horizontal="center" vertical="center" wrapText="1"/>
    </xf>
    <xf numFmtId="0" fontId="34" fillId="0" borderId="7" xfId="0" applyFont="1" applyBorder="1" applyAlignment="1">
      <alignment horizontal="center" vertical="center" wrapText="1"/>
    </xf>
    <xf numFmtId="168" fontId="34" fillId="0" borderId="7" xfId="11" applyNumberFormat="1" applyFont="1" applyBorder="1" applyAlignment="1">
      <alignment horizontal="center" vertical="center" wrapText="1"/>
    </xf>
    <xf numFmtId="14" fontId="34" fillId="0" borderId="7" xfId="9" applyFont="1" applyFill="1" applyBorder="1" applyAlignment="1">
      <alignment horizontal="center" vertical="center" wrapText="1"/>
    </xf>
    <xf numFmtId="167" fontId="34" fillId="0" borderId="18" xfId="6" applyFont="1" applyBorder="1" applyAlignment="1">
      <alignment horizontal="center" vertical="center"/>
    </xf>
    <xf numFmtId="14" fontId="34" fillId="0" borderId="18" xfId="9" applyNumberFormat="1" applyFont="1" applyFill="1" applyBorder="1" applyAlignment="1">
      <alignment horizontal="center" vertical="center" wrapText="1"/>
    </xf>
    <xf numFmtId="167" fontId="34" fillId="0" borderId="18" xfId="6" applyFont="1" applyBorder="1" applyAlignment="1">
      <alignment horizontal="center" vertical="center" wrapText="1"/>
    </xf>
    <xf numFmtId="0" fontId="34" fillId="0" borderId="18" xfId="0" applyFont="1" applyBorder="1" applyAlignment="1">
      <alignment horizontal="center" vertical="center" wrapText="1"/>
    </xf>
    <xf numFmtId="168" fontId="34" fillId="0" borderId="18" xfId="11" applyNumberFormat="1" applyFont="1" applyBorder="1" applyAlignment="1">
      <alignment horizontal="center" vertical="center" wrapText="1"/>
    </xf>
    <xf numFmtId="14" fontId="34" fillId="0" borderId="18" xfId="9" applyFont="1" applyFill="1" applyBorder="1" applyAlignment="1">
      <alignment horizontal="center" vertical="center" wrapText="1"/>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4"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9"/>
    <cellStyle name="Hipervínculo" xfId="5" builtinId="8" customBuiltin="1"/>
    <cellStyle name="Incorrecto" xfId="14" builtinId="27" customBuiltin="1"/>
    <cellStyle name="Millares" xfId="6" builtinId="3" customBuiltin="1"/>
    <cellStyle name="Millares [0]" xfId="10" builtinId="6" customBuiltin="1"/>
    <cellStyle name="Moneda" xfId="11" builtinId="4" customBuiltin="1"/>
    <cellStyle name="Moneda [0]" xfId="7" builtinId="7" customBuiltin="1"/>
    <cellStyle name="Neutral" xfId="15" builtinId="28" customBuiltin="1"/>
    <cellStyle name="Normal" xfId="0" builtinId="0" customBuiltin="1"/>
    <cellStyle name="Notas" xfId="22" builtinId="10" customBuiltin="1"/>
    <cellStyle name="Porcentaje" xfId="8" builtinId="5" customBuiltin="1"/>
    <cellStyle name="Salida" xfId="17" builtinId="21" customBuiltin="1"/>
    <cellStyle name="Texto de advertencia" xfId="21" builtinId="11" customBuiltin="1"/>
    <cellStyle name="Texto explicativo" xfId="23" builtinId="53" customBuiltin="1"/>
    <cellStyle name="Título" xfId="12" builtinId="15" customBuiltin="1"/>
    <cellStyle name="Título 2" xfId="2" builtinId="17" customBuiltin="1"/>
    <cellStyle name="Título 3" xfId="3" builtinId="18" customBuiltin="1"/>
    <cellStyle name="Total" xfId="24" builtinId="25" customBuiltin="1"/>
  </cellStyles>
  <dxfs count="142">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68" formatCode="_-[$$-80A]* #,##0.00_-;\-[$$-80A]* #,##0.00_-;_-[$$-80A]* &quot;-&quot;??_-;_-@_-"/>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9" formatCode="dd/mm/yyyy"/>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border>
        <top style="thin">
          <color theme="7" tint="0.39994506668294322"/>
        </top>
      </border>
    </dxf>
    <dxf>
      <border>
        <bottom style="thin">
          <color rgb="FF2F2F2F"/>
        </bottom>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9" formatCode="dd/mm/yyyy"/>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7" formatCode="0_ ;\-0\ "/>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2"/>
        <color theme="1" tint="-0.24994659260841701"/>
        <name val="Gill Sans MT"/>
        <scheme val="minor"/>
      </font>
      <numFmt numFmtId="14" formatCode="0.00%"/>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outline="0">
        <left style="thin">
          <color theme="0" tint="-0.14996795556505021"/>
        </left>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_-[$$-80A]* #,##0.00_-;\-[$$-80A]* #,##0.00_-;_-[$$-80A]* &quot;-&quot;??_-;_-@_-"/>
      <border>
        <left style="thin">
          <color theme="0" tint="-0.14996795556505021"/>
        </left>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_-[$$-80A]* #,##0.00_-;\-[$$-80A]* #,##0.00_-;_-[$$-80A]* &quot;-&quot;??_-;_-@_-"/>
      <border outline="0">
        <left style="thin">
          <color theme="0" tint="-0.14996795556505021"/>
        </left>
        <right style="thin">
          <color theme="0" tint="-0.14996795556505021"/>
        </right>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_-[$$-80A]* #,##0.00_-;\-[$$-80A]* #,##0.00_-;_-[$$-80A]* &quot;-&quot;??_-;_-@_-"/>
      <border>
        <right style="thin">
          <color theme="0" tint="-0.14996795556505021"/>
        </right>
      </border>
    </dxf>
    <dxf>
      <font>
        <b val="0"/>
        <i val="0"/>
        <strike val="0"/>
        <condense val="0"/>
        <extend val="0"/>
        <outline val="0"/>
        <shadow val="0"/>
        <u val="none"/>
        <vertAlign val="baseline"/>
        <sz val="12"/>
        <color theme="1" tint="-0.24994659260841701"/>
        <name val="Gill Sans MT"/>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outline="0">
        <right style="thin">
          <color theme="0" tint="-0.14996795556505021"/>
        </right>
      </border>
    </dxf>
    <dxf>
      <font>
        <b val="0"/>
        <i val="0"/>
        <strike val="0"/>
        <condense val="0"/>
        <extend val="0"/>
        <outline val="0"/>
        <shadow val="0"/>
        <u val="none"/>
        <vertAlign val="baseline"/>
        <sz val="12"/>
        <color theme="1" tint="-0.24994659260841701"/>
        <name val="Gill Sans MT"/>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14996795556505021"/>
        </top>
      </border>
    </dxf>
    <dxf>
      <font>
        <b val="0"/>
        <i val="0"/>
        <strike val="0"/>
        <outline val="0"/>
        <shadow val="0"/>
        <u val="none"/>
        <vertAlign val="baseline"/>
        <sz val="12"/>
        <color theme="1" tint="-0.24994659260841701"/>
        <name val="Gill Sans MT"/>
        <scheme val="minor"/>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Gill Sans MT"/>
        <scheme val="minor"/>
      </font>
      <fill>
        <patternFill patternType="none">
          <fgColor indexed="64"/>
          <bgColor auto="1"/>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Beneficencia Y Patrocinios" pivot="0" count="7">
      <tableStyleElement type="wholeTable" dxfId="141"/>
      <tableStyleElement type="headerRow" dxfId="140"/>
      <tableStyleElement type="totalRow" dxfId="139"/>
      <tableStyleElement type="firstColumn" dxfId="138"/>
      <tableStyleElement type="lastColumn" dxfId="137"/>
      <tableStyleElement type="firstRowStripe" dxfId="136"/>
      <tableStyleElement type="firstColumnStripe" dxfId="135"/>
    </tableStyle>
    <tableStyle name="Gastos Detallados" pivot="0" count="7">
      <tableStyleElement type="wholeTable" dxfId="134"/>
      <tableStyleElement type="headerRow" dxfId="133"/>
      <tableStyleElement type="totalRow" dxfId="132"/>
      <tableStyleElement type="firstColumn" dxfId="131"/>
      <tableStyleElement type="lastColumn" dxfId="130"/>
      <tableStyleElement type="firstRowStripe" dxfId="129"/>
      <tableStyleElement type="firstColumnStripe" dxfId="128"/>
    </tableStyle>
    <tableStyle name="Resumen De Gastos Mensuales" pivot="0" count="9">
      <tableStyleElement type="wholeTable" dxfId="127"/>
      <tableStyleElement type="headerRow" dxfId="126"/>
      <tableStyleElement type="totalRow" dxfId="125"/>
      <tableStyleElement type="firstColumn" dxfId="124"/>
      <tableStyleElement type="lastColumn" dxfId="123"/>
      <tableStyleElement type="firstRowStripe" dxfId="122"/>
      <tableStyleElement type="secondRowStripe" dxfId="121"/>
      <tableStyleElement type="firstColumnStripe" dxfId="120"/>
      <tableStyleElement type="secondColumnStripe" dxfId="119"/>
    </tableStyle>
    <tableStyle name="Resumen De Presupuesto Del Año" pivot="0" count="9">
      <tableStyleElement type="wholeTable" dxfId="118"/>
      <tableStyleElement type="headerRow" dxfId="117"/>
      <tableStyleElement type="totalRow" dxfId="116"/>
      <tableStyleElement type="firstColumn" dxfId="115"/>
      <tableStyleElement type="lastColumn" dxfId="114"/>
      <tableStyleElement type="firstRowStripe" dxfId="113"/>
      <tableStyleElement type="secondRowStripe" dxfId="112"/>
      <tableStyleElement type="firstColumnStripe" dxfId="111"/>
      <tableStyleElement type="secondColumnStripe" dxfId="110"/>
    </tableStyle>
    <tableStyle name="Slicer Charitables &amp; Sponsorships" pivot="0" table="0" count="10">
      <tableStyleElement type="wholeTable" dxfId="109"/>
      <tableStyleElement type="headerRow" dxfId="108"/>
    </tableStyle>
    <tableStyle name="Slicer Itemized Expenses" pivot="0" table="0" count="10">
      <tableStyleElement type="wholeTable" dxfId="107"/>
      <tableStyleElement type="headerRow" dxfId="106"/>
    </tableStyle>
    <tableStyle name="Slicer Monthly Expenses Summary" pivot="0" table="0" count="10">
      <tableStyleElement type="wholeTable" dxfId="105"/>
      <tableStyleElement type="headerRow" dxfId="104"/>
    </tableStyle>
    <tableStyle name="SlicerStyleDark4 2" pivot="0" table="0" count="10">
      <tableStyleElement type="wholeTable" dxfId="103"/>
      <tableStyleElement type="headerRow" dxfId="102"/>
    </tableStyle>
  </tableStyles>
  <colors>
    <mruColors>
      <color rgb="FF66FFFF"/>
      <color rgb="FFFFFF66"/>
      <color rgb="FFFF66CC"/>
      <color rgb="FFF2F2F2"/>
      <color rgb="FF002060"/>
      <color rgb="FF3F3F3F"/>
      <color rgb="FFD9D9D9"/>
      <color rgb="FF2F2F2F"/>
      <color rgb="FFDE684D"/>
      <color rgb="FFDB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RESUMEN DE GASTOS MENSUALES'!A1"/></Relationships>
</file>

<file path=xl/drawings/_rels/drawing2.xml.rels><?xml version="1.0" encoding="UTF-8" standalone="yes"?>
<Relationships xmlns="http://schemas.openxmlformats.org/package/2006/relationships"><Relationship Id="rId3" Type="http://schemas.openxmlformats.org/officeDocument/2006/relationships/hyperlink" Target="#'GASTOS DETALLADOS'!A1"/><Relationship Id="rId2" Type="http://schemas.openxmlformats.org/officeDocument/2006/relationships/hyperlink" Target="#'RESUMEN DE PRESUPUESTO DEL A&#209;O'!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3" Type="http://schemas.openxmlformats.org/officeDocument/2006/relationships/hyperlink" Target="#'Fecha de recepci&#243;n de recursos '!A1"/><Relationship Id="rId2" Type="http://schemas.openxmlformats.org/officeDocument/2006/relationships/hyperlink" Target="#'BENEFICENCIA Y PATROCINIOS'!A1"/><Relationship Id="rId1" Type="http://schemas.openxmlformats.org/officeDocument/2006/relationships/hyperlink" Target="#'RESUMEN DE GASTOS MENSUALES'!A1"/></Relationships>
</file>

<file path=xl/drawings/_rels/drawing4.xml.rels><?xml version="1.0" encoding="UTF-8" standalone="yes"?>
<Relationships xmlns="http://schemas.openxmlformats.org/package/2006/relationships"><Relationship Id="rId1" Type="http://schemas.openxmlformats.org/officeDocument/2006/relationships/hyperlink" Target="#'GASTOS DETALLADOS'!A1"/></Relationships>
</file>

<file path=xl/drawings/_rels/drawing5.xml.rels><?xml version="1.0" encoding="UTF-8" standalone="yes"?>
<Relationships xmlns="http://schemas.openxmlformats.org/package/2006/relationships"><Relationship Id="rId1" Type="http://schemas.openxmlformats.org/officeDocument/2006/relationships/hyperlink" Target="#'GASTOS DETALLADOS'!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167640</xdr:rowOff>
    </xdr:from>
    <xdr:to>
      <xdr:col>2</xdr:col>
      <xdr:colOff>1044000</xdr:colOff>
      <xdr:row>0</xdr:row>
      <xdr:rowOff>441960</xdr:rowOff>
    </xdr:to>
    <xdr:sp macro="" textlink="">
      <xdr:nvSpPr>
        <xdr:cNvPr id="4" name="Flecha derecha 1" descr="Botón de navegación derecho">
          <a:hlinkClick xmlns:r="http://schemas.openxmlformats.org/officeDocument/2006/relationships" r:id="rId1" tooltip="Seleccionar para ir a la hoja de cálculo de RESUMEN DE GASTOS MENSUALES"/>
          <a:extLst>
            <a:ext uri="{FF2B5EF4-FFF2-40B4-BE49-F238E27FC236}">
              <a16:creationId xmlns:a16="http://schemas.microsoft.com/office/drawing/2014/main" id="{A2F25B9E-1F9C-4FA0-9FF6-E8F206FC0CA1}"/>
            </a:ext>
          </a:extLst>
        </xdr:cNvPr>
        <xdr:cNvSpPr/>
      </xdr:nvSpPr>
      <xdr:spPr>
        <a:xfrm>
          <a:off x="1733550" y="167640"/>
          <a:ext cx="104400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SIGUIENTE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9526</xdr:rowOff>
    </xdr:from>
    <xdr:to>
      <xdr:col>17</xdr:col>
      <xdr:colOff>9525</xdr:colOff>
      <xdr:row>3</xdr:row>
      <xdr:rowOff>422275</xdr:rowOff>
    </xdr:to>
    <mc:AlternateContent xmlns:mc="http://schemas.openxmlformats.org/markup-compatibility/2006" xmlns:sle15="http://schemas.microsoft.com/office/drawing/2012/slicer">
      <mc:Choice Requires="sle15">
        <xdr:graphicFrame macro="">
          <xdr:nvGraphicFramePr>
            <xdr:cNvPr id="3" name="Título de cuenta" descr="Filtrar el resumen de gastos mensuales resumen por el campo de Título de la cuenta">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ítulo de cuenta"/>
            </a:graphicData>
          </a:graphic>
        </xdr:graphicFrame>
      </mc:Choice>
      <mc:Fallback xmlns="">
        <xdr:sp macro="" textlink="">
          <xdr:nvSpPr>
            <xdr:cNvPr id="0" name=""/>
            <xdr:cNvSpPr>
              <a:spLocks noTextEdit="1"/>
            </xdr:cNvSpPr>
          </xdr:nvSpPr>
          <xdr:spPr>
            <a:xfrm>
              <a:off x="190500" y="2495551"/>
              <a:ext cx="16611600" cy="879474"/>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oneCell">
    <xdr:from>
      <xdr:col>8</xdr:col>
      <xdr:colOff>434459</xdr:colOff>
      <xdr:row>1</xdr:row>
      <xdr:rowOff>12700</xdr:rowOff>
    </xdr:from>
    <xdr:to>
      <xdr:col>17</xdr:col>
      <xdr:colOff>15960</xdr:colOff>
      <xdr:row>2</xdr:row>
      <xdr:rowOff>12700</xdr:rowOff>
    </xdr:to>
    <xdr:pic>
      <xdr:nvPicPr>
        <xdr:cNvPr id="8" name="Imagen 7" descr="dedos apuntando a una hoja de papel con un gráfico de barras y un gráfico de línea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8635484" y="555625"/>
          <a:ext cx="8173051" cy="1943100"/>
        </a:xfrm>
        <a:prstGeom prst="rect">
          <a:avLst/>
        </a:prstGeom>
      </xdr:spPr>
    </xdr:pic>
    <xdr:clientData/>
  </xdr:twoCellAnchor>
  <xdr:twoCellAnchor editAs="oneCell">
    <xdr:from>
      <xdr:col>1</xdr:col>
      <xdr:colOff>0</xdr:colOff>
      <xdr:row>0</xdr:row>
      <xdr:rowOff>167640</xdr:rowOff>
    </xdr:from>
    <xdr:to>
      <xdr:col>1</xdr:col>
      <xdr:colOff>1044000</xdr:colOff>
      <xdr:row>0</xdr:row>
      <xdr:rowOff>441960</xdr:rowOff>
    </xdr:to>
    <xdr:sp macro="" textlink="">
      <xdr:nvSpPr>
        <xdr:cNvPr id="6" name="Flecha izquierda 4" descr="Botón de navegación izquierdo">
          <a:hlinkClick xmlns:r="http://schemas.openxmlformats.org/officeDocument/2006/relationships" r:id="rId2" tooltip="Seleccione para ir a la hoja de cálculo RESUMEN DE PRESUPUESTO DEL AÑO ACTUAL"/>
          <a:extLst>
            <a:ext uri="{FF2B5EF4-FFF2-40B4-BE49-F238E27FC236}">
              <a16:creationId xmlns:a16="http://schemas.microsoft.com/office/drawing/2014/main" id="{E95A5DF3-CD0F-493D-A7FC-4C7CD2BE6987}"/>
            </a:ext>
          </a:extLst>
        </xdr:cNvPr>
        <xdr:cNvSpPr/>
      </xdr:nvSpPr>
      <xdr:spPr>
        <a:xfrm>
          <a:off x="200025" y="167640"/>
          <a:ext cx="104400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twoCellAnchor editAs="oneCell">
    <xdr:from>
      <xdr:col>2</xdr:col>
      <xdr:colOff>19049</xdr:colOff>
      <xdr:row>0</xdr:row>
      <xdr:rowOff>167640</xdr:rowOff>
    </xdr:from>
    <xdr:to>
      <xdr:col>2</xdr:col>
      <xdr:colOff>1063049</xdr:colOff>
      <xdr:row>0</xdr:row>
      <xdr:rowOff>441960</xdr:rowOff>
    </xdr:to>
    <xdr:sp macro="" textlink="">
      <xdr:nvSpPr>
        <xdr:cNvPr id="7" name="Flecha derecha 3" descr="Botón de navegación derecho">
          <a:hlinkClick xmlns:r="http://schemas.openxmlformats.org/officeDocument/2006/relationships" r:id="rId3" tooltip="Seleccione para ir a la hoja de cálculo GASTOS DETALLADOS"/>
          <a:extLst>
            <a:ext uri="{FF2B5EF4-FFF2-40B4-BE49-F238E27FC236}">
              <a16:creationId xmlns:a16="http://schemas.microsoft.com/office/drawing/2014/main" id="{905DABCC-166E-4E40-ABFD-B9AB1276B6E2}"/>
            </a:ext>
          </a:extLst>
        </xdr:cNvPr>
        <xdr:cNvSpPr/>
      </xdr:nvSpPr>
      <xdr:spPr>
        <a:xfrm>
          <a:off x="1476374" y="167640"/>
          <a:ext cx="104400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SIGUIENTE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1044000</xdr:colOff>
      <xdr:row>0</xdr:row>
      <xdr:rowOff>438150</xdr:rowOff>
    </xdr:to>
    <xdr:sp macro="" textlink="">
      <xdr:nvSpPr>
        <xdr:cNvPr id="6" name="Flecha izquierda 8" descr="Botón de navegación izquierdo">
          <a:hlinkClick xmlns:r="http://schemas.openxmlformats.org/officeDocument/2006/relationships" r:id="rId1" tooltip="Seleccionar para ir a la hoja de cálculo de RESUMEN DE GASTOS MENSUALES"/>
          <a:extLst>
            <a:ext uri="{FF2B5EF4-FFF2-40B4-BE49-F238E27FC236}">
              <a16:creationId xmlns:a16="http://schemas.microsoft.com/office/drawing/2014/main" id="{C73DCBEF-D9FA-437D-96E6-AA3A4598F772}"/>
            </a:ext>
          </a:extLst>
        </xdr:cNvPr>
        <xdr:cNvSpPr/>
      </xdr:nvSpPr>
      <xdr:spPr>
        <a:xfrm>
          <a:off x="200025" y="163830"/>
          <a:ext cx="104400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twoCellAnchor editAs="oneCell">
    <xdr:from>
      <xdr:col>2</xdr:col>
      <xdr:colOff>0</xdr:colOff>
      <xdr:row>0</xdr:row>
      <xdr:rowOff>163830</xdr:rowOff>
    </xdr:from>
    <xdr:to>
      <xdr:col>2</xdr:col>
      <xdr:colOff>1044000</xdr:colOff>
      <xdr:row>0</xdr:row>
      <xdr:rowOff>438150</xdr:rowOff>
    </xdr:to>
    <xdr:sp macro="" textlink="">
      <xdr:nvSpPr>
        <xdr:cNvPr id="7" name="Flecha derecha 7" descr="Botón de navegación derecho">
          <a:hlinkClick xmlns:r="http://schemas.openxmlformats.org/officeDocument/2006/relationships" r:id="rId2" tooltip="Seleccionar para ir a la hoja de cálculo BENEFICENCIA Y PATROCINIOS"/>
          <a:extLst>
            <a:ext uri="{FF2B5EF4-FFF2-40B4-BE49-F238E27FC236}">
              <a16:creationId xmlns:a16="http://schemas.microsoft.com/office/drawing/2014/main" id="{97F0CB6F-94CE-461E-AB25-E2B12DF600B2}"/>
            </a:ext>
          </a:extLst>
        </xdr:cNvPr>
        <xdr:cNvSpPr/>
      </xdr:nvSpPr>
      <xdr:spPr>
        <a:xfrm>
          <a:off x="1800225" y="163830"/>
          <a:ext cx="104400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SIGUIENTE</a:t>
          </a:r>
        </a:p>
      </xdr:txBody>
    </xdr:sp>
    <xdr:clientData fPrintsWithSheet="0"/>
  </xdr:twoCellAnchor>
  <xdr:twoCellAnchor editAs="absolute">
    <xdr:from>
      <xdr:col>1</xdr:col>
      <xdr:colOff>15240</xdr:colOff>
      <xdr:row>2</xdr:row>
      <xdr:rowOff>7620</xdr:rowOff>
    </xdr:from>
    <xdr:to>
      <xdr:col>5</xdr:col>
      <xdr:colOff>962025</xdr:colOff>
      <xdr:row>2</xdr:row>
      <xdr:rowOff>1043940</xdr:rowOff>
    </xdr:to>
    <mc:AlternateContent xmlns:mc="http://schemas.openxmlformats.org/markup-compatibility/2006" xmlns:sle15="http://schemas.microsoft.com/office/drawing/2012/slicer">
      <mc:Choice Requires="sle15">
        <xdr:graphicFrame macro="">
          <xdr:nvGraphicFramePr>
            <xdr:cNvPr id="2" name="Solicitado por">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Solicitado por"/>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datos de tabla no son compatibles con esta versión de Excel.
No se podrá usar la segmentación si la forma se modificó en una versión anterior de Excel o si el libro se guardó en Excel 2007 o en una versión anterior.</a:t>
              </a:r>
            </a:p>
          </xdr:txBody>
        </xdr:sp>
      </mc:Fallback>
    </mc:AlternateContent>
    <xdr:clientData/>
  </xdr:twoCellAnchor>
  <xdr:twoCellAnchor editAs="absolute">
    <xdr:from>
      <xdr:col>5</xdr:col>
      <xdr:colOff>1000125</xdr:colOff>
      <xdr:row>2</xdr:row>
      <xdr:rowOff>0</xdr:rowOff>
    </xdr:from>
    <xdr:to>
      <xdr:col>10</xdr:col>
      <xdr:colOff>0</xdr:colOff>
      <xdr:row>2</xdr:row>
      <xdr:rowOff>1051559</xdr:rowOff>
    </xdr:to>
    <mc:AlternateContent xmlns:mc="http://schemas.openxmlformats.org/markup-compatibility/2006" xmlns:sle15="http://schemas.microsoft.com/office/drawing/2012/slicer">
      <mc:Choice Requires="sle15">
        <xdr:graphicFrame macro="">
          <xdr:nvGraphicFramePr>
            <xdr:cNvPr id="3" name="Beneficiario">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Beneficiario"/>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datos de tabla no son compatibles con esta versión de Excel.
No se podrá usar la segmentación si la forma se modificó en una versión anterior de Excel o si el libro se guardó en Excel 2007 o en una versión anterior.</a:t>
              </a:r>
            </a:p>
          </xdr:txBody>
        </xdr:sp>
      </mc:Fallback>
    </mc:AlternateContent>
    <xdr:clientData/>
  </xdr:twoCellAnchor>
  <xdr:twoCellAnchor editAs="oneCell">
    <xdr:from>
      <xdr:col>2</xdr:col>
      <xdr:colOff>19049</xdr:colOff>
      <xdr:row>0</xdr:row>
      <xdr:rowOff>167640</xdr:rowOff>
    </xdr:from>
    <xdr:to>
      <xdr:col>2</xdr:col>
      <xdr:colOff>1063049</xdr:colOff>
      <xdr:row>0</xdr:row>
      <xdr:rowOff>441960</xdr:rowOff>
    </xdr:to>
    <xdr:sp macro="" textlink="">
      <xdr:nvSpPr>
        <xdr:cNvPr id="8" name="Flecha derecha 3" descr="Botón de navegación derecho">
          <a:hlinkClick xmlns:r="http://schemas.openxmlformats.org/officeDocument/2006/relationships" r:id="rId3" tooltip="Seleccione para ir a la hoja de cálculo GASTOS DETALLADOS"/>
          <a:extLst>
            <a:ext uri="{FF2B5EF4-FFF2-40B4-BE49-F238E27FC236}">
              <a16:creationId xmlns:a16="http://schemas.microsoft.com/office/drawing/2014/main" id="{905DABCC-166E-4E40-ABFD-B9AB1276B6E2}"/>
            </a:ext>
          </a:extLst>
        </xdr:cNvPr>
        <xdr:cNvSpPr/>
      </xdr:nvSpPr>
      <xdr:spPr>
        <a:xfrm>
          <a:off x="1819274" y="167640"/>
          <a:ext cx="104400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SIGUIENTE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1044000</xdr:colOff>
      <xdr:row>0</xdr:row>
      <xdr:rowOff>438150</xdr:rowOff>
    </xdr:to>
    <xdr:sp macro="" textlink="">
      <xdr:nvSpPr>
        <xdr:cNvPr id="2" name="Flecha izquierda 8" descr="Botón de navegación izquierdo">
          <a:hlinkClick xmlns:r="http://schemas.openxmlformats.org/officeDocument/2006/relationships" r:id="rId1" tooltip="Seleccionar para ir a la hoja de cálculo de GASTOS DETALLADOS"/>
          <a:extLst>
            <a:ext uri="{FF2B5EF4-FFF2-40B4-BE49-F238E27FC236}">
              <a16:creationId xmlns:a16="http://schemas.microsoft.com/office/drawing/2014/main" id="{C73DCBEF-D9FA-437D-96E6-AA3A4598F772}"/>
            </a:ext>
          </a:extLst>
        </xdr:cNvPr>
        <xdr:cNvSpPr/>
      </xdr:nvSpPr>
      <xdr:spPr>
        <a:xfrm>
          <a:off x="838200" y="163830"/>
          <a:ext cx="104400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92550</xdr:colOff>
      <xdr:row>2</xdr:row>
      <xdr:rowOff>942975</xdr:rowOff>
    </xdr:to>
    <mc:AlternateContent xmlns:mc="http://schemas.openxmlformats.org/markup-compatibility/2006" xmlns:sle15="http://schemas.microsoft.com/office/drawing/2012/slicer">
      <mc:Choice Requires="sle15">
        <xdr:graphicFrame macro="">
          <xdr:nvGraphicFramePr>
            <xdr:cNvPr id="4" name="Solicitante 1" descr="Filtrar beneficencia y patrocinios por el campo Solicitante">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Solicitante 1"/>
            </a:graphicData>
          </a:graphic>
        </xdr:graphicFrame>
      </mc:Choice>
      <mc:Fallback xmlns="">
        <xdr:sp macro="" textlink="">
          <xdr:nvSpPr>
            <xdr:cNvPr id="0" name=""/>
            <xdr:cNvSpPr>
              <a:spLocks noTextEdit="1"/>
            </xdr:cNvSpPr>
          </xdr:nvSpPr>
          <xdr:spPr>
            <a:xfrm>
              <a:off x="276225" y="1695450"/>
              <a:ext cx="7884000" cy="885825"/>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oneCell">
    <xdr:from>
      <xdr:col>6</xdr:col>
      <xdr:colOff>76201</xdr:colOff>
      <xdr:row>2</xdr:row>
      <xdr:rowOff>57150</xdr:rowOff>
    </xdr:from>
    <xdr:to>
      <xdr:col>11</xdr:col>
      <xdr:colOff>876300</xdr:colOff>
      <xdr:row>2</xdr:row>
      <xdr:rowOff>942975</xdr:rowOff>
    </xdr:to>
    <mc:AlternateContent xmlns:mc="http://schemas.openxmlformats.org/markup-compatibility/2006" xmlns:sle15="http://schemas.microsoft.com/office/drawing/2012/slicer">
      <mc:Choice Requires="sle15">
        <xdr:graphicFrame macro="">
          <xdr:nvGraphicFramePr>
            <xdr:cNvPr id="5" name="Beneficiario 1" descr="Filtrar beneficencia y patrocinios por el campo Beneficiario">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Beneficiario 1"/>
            </a:graphicData>
          </a:graphic>
        </xdr:graphicFrame>
      </mc:Choice>
      <mc:Fallback xmlns="">
        <xdr:sp macro="" textlink="">
          <xdr:nvSpPr>
            <xdr:cNvPr id="3" name="Rectángulo 2"/>
            <xdr:cNvSpPr>
              <a:spLocks noTextEdit="1"/>
            </xdr:cNvSpPr>
          </xdr:nvSpPr>
          <xdr:spPr>
            <a:xfrm>
              <a:off x="7442200" y="1504950"/>
              <a:ext cx="8204201" cy="885825"/>
            </a:xfrm>
            <a:prstGeom prst="rect">
              <a:avLst/>
            </a:prstGeom>
            <a:noFill/>
            <a:ln w="1">
              <a:noFill/>
            </a:ln>
          </xdr:spPr>
          <xdr:txBody>
            <a:bodyPr vertOverflow="clip" horzOverflow="clip" rtlCol="false"/>
            <a:lstStyle/>
            <a:p>
              <a:pPr rtl="false"/>
              <a:r>
                <a:rPr lang="es" sz="1100">
                  <a:solidFill>
                    <a:schemeClr val="tx1">
                      <a:lumMod val="75000"/>
                    </a:schemeClr>
                  </a:solidFill>
                  <a:latin typeface="Gill Sans MT" charset="0"/>
                  <a:ea typeface="Gill Sans MT" charset="0"/>
                  <a:cs typeface="Gill Sans MT" charset="0"/>
                </a:rPr>
                <a:t>Esta forma representa una segmentación de datos de tabla. Las segmentaciones de tabla son compatibles con Excel o versiones posteriores.
No se podrá usar la segmentación si la forma se modificó en una versión anterior de Excel o si el libro se guardó en Excel 2007 o en una versión anterior.</a:t>
              </a:r>
            </a:p>
          </xdr:txBody>
        </xdr:sp>
      </mc:Fallback>
    </mc:AlternateContent>
    <xdr:clientData/>
  </xdr:twoCellAnchor>
  <xdr:twoCellAnchor editAs="oneCell">
    <xdr:from>
      <xdr:col>1</xdr:col>
      <xdr:colOff>0</xdr:colOff>
      <xdr:row>0</xdr:row>
      <xdr:rowOff>167640</xdr:rowOff>
    </xdr:from>
    <xdr:to>
      <xdr:col>1</xdr:col>
      <xdr:colOff>1044000</xdr:colOff>
      <xdr:row>0</xdr:row>
      <xdr:rowOff>441960</xdr:rowOff>
    </xdr:to>
    <xdr:sp macro="" textlink="">
      <xdr:nvSpPr>
        <xdr:cNvPr id="6" name="Flecha izquierda 6" descr="Botón de navegación izquierdo">
          <a:hlinkClick xmlns:r="http://schemas.openxmlformats.org/officeDocument/2006/relationships" r:id="rId1" tooltip="Seleccione para ir a la hoja de cálculo GASTOS DETALLADOS"/>
          <a:extLst>
            <a:ext uri="{FF2B5EF4-FFF2-40B4-BE49-F238E27FC236}">
              <a16:creationId xmlns:a16="http://schemas.microsoft.com/office/drawing/2014/main" id="{F4EC4B53-35E1-49AB-9992-C7C94F4BE626}"/>
            </a:ext>
          </a:extLst>
        </xdr:cNvPr>
        <xdr:cNvSpPr/>
      </xdr:nvSpPr>
      <xdr:spPr>
        <a:xfrm>
          <a:off x="200025" y="167640"/>
          <a:ext cx="1044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quested_by1" sourceName="Solicitado por">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ayee1" sourceName="Beneficiario">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ccount_Title" sourceName="Descripción">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quested_by" sourceName="Solicitado por">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yee" sourceName="Destino final de los recursos">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ítulo de cuenta" cache="Slicer_Account_Title" caption="Descripción"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Solicitado por" cache="Slicer_Requested_by" caption="Solicitado por" columnCount="3" style="Slicer Charitables &amp; Sponsorships" rowHeight="273050"/>
  <slicer name="Beneficiario" cache="Slicer_Payee" caption="Destino final de los recursos" startItem="3"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mc:Ignorable="x">
  <slicer name="Solicitante 1" cache="Slicer_Requested_by1" caption="Solicitado por" columnCount="3" style="Slicer Charitables &amp; Sponsorships" rowHeight="225425"/>
  <slicer name="Beneficiario 1" cache="Slicer_Payee1" caption="Beneficiario" columnCount="3" style="Slicer Charitables &amp; Sponsorships" rowHeight="225425"/>
</slicers>
</file>

<file path=xl/tables/table1.xml><?xml version="1.0" encoding="utf-8"?>
<table xmlns="http://schemas.openxmlformats.org/spreadsheetml/2006/main" id="1" name="YearToDateTable" displayName="YearToDateTable" ref="B3:G10" totalsRowCount="1" headerRowDxfId="101" dataDxfId="99" totalsRowDxfId="98" headerRowBorderDxfId="100" totalsRowBorderDxfId="97">
  <autoFilter ref="B3:G9">
    <filterColumn colId="0" hiddenButton="1"/>
    <filterColumn colId="1" hiddenButton="1"/>
    <filterColumn colId="2" hiddenButton="1"/>
    <filterColumn colId="3" hiddenButton="1"/>
    <filterColumn colId="4" hiddenButton="1"/>
    <filterColumn colId="5" hiddenButton="1"/>
  </autoFilter>
  <tableColumns count="6">
    <tableColumn id="1" name="Clausula económica contractual" totalsRowLabel="Total" totalsRowDxfId="96"/>
    <tableColumn id="2" name="Descripción" dataDxfId="95" totalsRowDxfId="94"/>
    <tableColumn id="3" name="Ingreso" totalsRowFunction="sum" dataDxfId="93" totalsRowDxfId="92">
      <calculatedColumnFormula>'Fecha de recepción de recursos '!#REF!</calculatedColumnFormula>
    </tableColumn>
    <tableColumn id="4" name="Egreso" totalsRowFunction="sum" dataDxfId="91" totalsRowDxfId="90">
      <calculatedColumnFormula>SUMIF(ResumenDeGastosMensuales[Clausula económica contractual],YearToDateTable[[#This Row],[Clausula económica contractual]],ResumenDeGastosMensuales[Total])</calculatedColumnFormula>
    </tableColumn>
    <tableColumn id="5" name="RESTANTES EN $" totalsRowFunction="sum" dataDxfId="89" totalsRowDxfId="88">
      <calculatedColumnFormula>IF(YearToDateTable[[#This Row],[Egreso]]="","",YearToDateTable[[#This Row],[Ingreso]]-YearToDateTable[[#This Row],[Egreso]])</calculatedColumnFormula>
    </tableColumn>
    <tableColumn id="6" name="RESTANTES EN % " totalsRowFunction="custom" dataDxfId="87" totalsRowDxfId="86">
      <calculatedColumnFormula>IFERROR(YearToDateTable[[#This Row],[RESTANTES EN $]]/YearToDateTable[[#This Row],[Egreso]],"")</calculatedColumnFormula>
      <totalsRowFormula>YearToDateTable[[#Totals],[RESTANTES EN $]]/YearToDateTable[[#Totals],[Egreso]]</totalsRowFormula>
    </tableColumn>
  </tableColumns>
  <tableStyleInfo name="Resumen De Presupuesto Del Año" showFirstColumn="0" showLastColumn="0" showRowStripes="1" showColumnStripes="0"/>
  <extLst>
    <ext xmlns:x14="http://schemas.microsoft.com/office/spreadsheetml/2009/9/main" uri="{504A1905-F514-4f6f-8877-14C23A59335A}">
      <x14:table altTextSummary="Escriba el código de contabilidad, título de la cuenta y presupuesto en esta tabla. La cantidad real y los valores y porcentaje restantes se calcularán automáticamente"/>
    </ext>
  </extLst>
</table>
</file>

<file path=xl/tables/table2.xml><?xml version="1.0" encoding="utf-8"?>
<table xmlns="http://schemas.openxmlformats.org/spreadsheetml/2006/main" id="4" name="ResumenDeGastosMensuales" displayName="ResumenDeGastosMensuales" ref="B5:Q12" totalsRowCount="1" headerRowDxfId="85" dataDxfId="83" totalsRowDxfId="81" headerRowBorderDxfId="84" tableBorderDxfId="82" totalsRowBorderDxfId="80">
  <autoFilter ref="B5:Q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name="Clausula económica contractual" totalsRowLabel="Total" dataDxfId="79" totalsRowDxfId="78"/>
    <tableColumn id="2" name="Descripción" dataDxfId="77" totalsRowDxfId="76"/>
    <tableColumn id="3" name="Enero" totalsRowFunction="sum" dataDxfId="75" totalsRowDxfId="74">
      <calculatedColumnFormula>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calculatedColumnFormula>
    </tableColumn>
    <tableColumn id="4" name="Febrero" totalsRowFunction="sum" dataDxfId="73" totalsRowDxfId="72">
      <calculatedColumnFormula>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calculatedColumnFormula>
    </tableColumn>
    <tableColumn id="5" name="Marzo" totalsRowFunction="sum" dataDxfId="71" totalsRowDxfId="70">
      <calculatedColumnFormula>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calculatedColumnFormula>
    </tableColumn>
    <tableColumn id="6" name="Abril" totalsRowFunction="sum" dataDxfId="69" totalsRowDxfId="68">
      <calculatedColumnFormula>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calculatedColumnFormula>
    </tableColumn>
    <tableColumn id="7" name="Mayo" totalsRowFunction="sum" dataDxfId="67" totalsRowDxfId="66">
      <calculatedColumnFormula>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calculatedColumnFormula>
    </tableColumn>
    <tableColumn id="8" name="Junio" totalsRowFunction="sum" dataDxfId="65" totalsRowDxfId="64">
      <calculatedColumnFormula>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calculatedColumnFormula>
    </tableColumn>
    <tableColumn id="9" name="Julio" totalsRowFunction="sum" dataDxfId="63" totalsRowDxfId="62">
      <calculatedColumnFormula>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calculatedColumnFormula>
    </tableColumn>
    <tableColumn id="10" name="Agosto" totalsRowFunction="sum" dataDxfId="61" totalsRowDxfId="60">
      <calculatedColumnFormula>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calculatedColumnFormula>
    </tableColumn>
    <tableColumn id="11" name="Septiembre" totalsRowFunction="sum" dataDxfId="59" totalsRowDxfId="58">
      <calculatedColumnFormula>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calculatedColumnFormula>
    </tableColumn>
    <tableColumn id="12" name="Octubre" totalsRowFunction="sum" dataDxfId="57" totalsRowDxfId="56">
      <calculatedColumnFormula>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calculatedColumnFormula>
    </tableColumn>
    <tableColumn id="13" name="Noviembre" totalsRowFunction="sum" dataDxfId="55" totalsRowDxfId="54">
      <calculatedColumnFormula>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calculatedColumnFormula>
    </tableColumn>
    <tableColumn id="14" name="Diciembre" totalsRowFunction="sum" dataDxfId="53" totalsRowDxfId="52">
      <calculatedColumnFormula>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calculatedColumnFormula>
    </tableColumn>
    <tableColumn id="15" name="Total" totalsRowFunction="sum" dataDxfId="51" totalsRowDxfId="50">
      <calculatedColumnFormula>SUM(ResumenDeGastosMensuales[[#This Row],[Enero]:[Diciembre]])</calculatedColumnFormula>
    </tableColumn>
    <tableColumn id="16" name=" " dataDxfId="49" totalsRowDxfId="48"/>
  </tableColumns>
  <tableStyleInfo name="TableStyleLight8" showFirstColumn="0" showLastColumn="0" showRowStripes="1" showColumnStripes="0"/>
  <extLst>
    <ext xmlns:x14="http://schemas.microsoft.com/office/spreadsheetml/2009/9/main" uri="{504A1905-F514-4f6f-8877-14C23A59335A}">
      <x14:table altTextSummary="Escriba el código de contabilidad y el título de la cuenta en esta tabla. La cantidad de cada mes y los totales se calculan automáticamente"/>
    </ext>
  </extLst>
</table>
</file>

<file path=xl/tables/table3.xml><?xml version="1.0" encoding="utf-8"?>
<table xmlns="http://schemas.openxmlformats.org/spreadsheetml/2006/main" id="2" name="GastosDetallados" displayName="GastosDetallados" ref="B4:J210" headerRowDxfId="22" dataDxfId="21" headerRowBorderDxfId="19" tableBorderDxfId="20" totalsRowBorderDxfId="18">
  <autoFilter ref="B4:J2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sortState ref="B5:J167">
    <sortCondition ref="C5:C167"/>
  </sortState>
  <tableColumns count="9">
    <tableColumn id="1" name="Clausula económica contractual" totalsRowLabel="Total" dataDxfId="16" totalsRowDxfId="17" dataCellStyle="Millares"/>
    <tableColumn id="2" name="Fecha(s) o periodo(s) en que se ejercen los recursos (día/mes/año)" dataDxfId="14" totalsRowDxfId="15" dataCellStyle="Fecha"/>
    <tableColumn id="3" name="N.º de factura" dataDxfId="12" totalsRowDxfId="13" dataCellStyle="Millares"/>
    <tableColumn id="4" name="Solicitado por" dataDxfId="10" totalsRowDxfId="11"/>
    <tableColumn id="5" name="Importe" dataDxfId="8" totalsRowDxfId="9" dataCellStyle="Moneda"/>
    <tableColumn id="6" name="Destino final de los recursos" dataDxfId="6" totalsRowDxfId="7"/>
    <tableColumn id="7" name="Uso" dataDxfId="4" totalsRowDxfId="5"/>
    <tableColumn id="8" name="Método de distribución" dataDxfId="2" totalsRowDxfId="3"/>
    <tableColumn id="9" name="Fecha del archivo" totalsRowFunction="count" dataDxfId="0" totalsRowDxfId="1" dataCellStyle="Fecha"/>
  </tableColumns>
  <tableStyleInfo name="Gastos Detallados"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id="3" name="Otros" displayName="Otros" ref="B4:L6" headerRowDxfId="47" dataDxfId="45" headerRowBorderDxfId="46">
  <autoFilter ref="B4:L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Código de contabilidad general" totalsRowLabel="Total" dataDxfId="44" totalsRowDxfId="43" dataCellStyle="Millares"/>
    <tableColumn id="2" name="Fecha de solicitud del cheque " dataDxfId="42" totalsRowDxfId="41" dataCellStyle="Fecha"/>
    <tableColumn id="3" name="Solicitado por" dataDxfId="40" totalsRowDxfId="39"/>
    <tableColumn id="4" name="Importe del cheque" dataDxfId="38" totalsRowDxfId="37" dataCellStyle="Moneda [0]"/>
    <tableColumn id="5" name="Contribución año anterior" dataDxfId="36" totalsRowDxfId="35" dataCellStyle="Moneda [0]"/>
    <tableColumn id="6" name="Beneficiario" dataDxfId="34" totalsRowDxfId="33"/>
    <tableColumn id="7" name="Usado para" dataDxfId="32" totalsRowDxfId="31"/>
    <tableColumn id="8" name="Aprobado por" dataDxfId="30" totalsRowDxfId="29"/>
    <tableColumn id="9" name="Categoría" dataDxfId="28" totalsRowDxfId="27"/>
    <tableColumn id="10" name="Método de distribución" dataDxfId="26" totalsRowDxfId="25"/>
    <tableColumn id="11" name="Fecha del archivo" totalsRowFunction="count" dataDxfId="24" totalsRowDxfId="23" dataCellStyle="Fecha"/>
  </tableColumns>
  <tableStyleInfo name="Beneficencia Y Patrocinios" showFirstColumn="0" showLastColumn="0" showRowStripes="0" showColumnStripes="0"/>
  <extLst>
    <ext xmlns:x14="http://schemas.microsoft.com/office/spreadsheetml/2009/9/main" uri="{504A1905-F514-4f6f-8877-14C23A59335A}">
      <x14:table altTextSummary="Escriba el código de contabilidad, fecha en que se inició la solicitud, nombres de solicitante y beneficiario, cantidad del cheque, uso, contribución del año anterior, método de distribución y fecha del archivo en esta tabla"/>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B1:G12"/>
  <sheetViews>
    <sheetView showGridLines="0" tabSelected="1" workbookViewId="0">
      <selection activeCell="F14" sqref="F14"/>
    </sheetView>
  </sheetViews>
  <sheetFormatPr baseColWidth="10" defaultColWidth="8.75" defaultRowHeight="30" customHeight="1" x14ac:dyDescent="0.35"/>
  <cols>
    <col min="1" max="1" width="2.625" customWidth="1"/>
    <col min="2" max="2" width="23.5" customWidth="1"/>
    <col min="3" max="3" width="28.75" customWidth="1"/>
    <col min="4" max="4" width="23.75" customWidth="1"/>
    <col min="5" max="5" width="28.25" customWidth="1"/>
    <col min="6" max="6" width="38.375" customWidth="1"/>
    <col min="7" max="7" width="37.75" customWidth="1"/>
    <col min="8" max="8" width="52.625" customWidth="1"/>
  </cols>
  <sheetData>
    <row r="1" spans="2:7" ht="42.6" customHeight="1" x14ac:dyDescent="0.35">
      <c r="B1" s="3"/>
    </row>
    <row r="2" spans="2:7" ht="43.9" customHeight="1" x14ac:dyDescent="0.35">
      <c r="B2" s="82" t="s">
        <v>105</v>
      </c>
      <c r="C2" s="82"/>
      <c r="D2" s="82"/>
      <c r="E2" s="82"/>
      <c r="F2" s="53" t="s">
        <v>2</v>
      </c>
      <c r="G2" s="53">
        <f ca="1">YEAR(TODAY())</f>
        <v>2019</v>
      </c>
    </row>
    <row r="3" spans="2:7" ht="39" customHeight="1" x14ac:dyDescent="0.35">
      <c r="B3" s="30" t="s">
        <v>104</v>
      </c>
      <c r="C3" s="31" t="s">
        <v>106</v>
      </c>
      <c r="D3" s="31" t="s">
        <v>74</v>
      </c>
      <c r="E3" s="31" t="s">
        <v>73</v>
      </c>
      <c r="F3" s="32" t="s">
        <v>46</v>
      </c>
      <c r="G3" s="33" t="s">
        <v>3</v>
      </c>
    </row>
    <row r="4" spans="2:7" ht="39" customHeight="1" x14ac:dyDescent="0.35">
      <c r="B4" s="28">
        <v>61</v>
      </c>
      <c r="C4" s="36" t="s">
        <v>40</v>
      </c>
      <c r="D4" s="34">
        <f>'Fecha de recepción de recursos '!P10</f>
        <v>99743.12</v>
      </c>
      <c r="E4" s="34">
        <f ca="1">SUMIF(ResumenDeGastosMensuales[Clausula económica contractual],YearToDateTable[[#This Row],[Clausula económica contractual]],ResumenDeGastosMensuales[Total])</f>
        <v>96088.41</v>
      </c>
      <c r="F4" s="35">
        <f ca="1">IF(YearToDateTable[[#This Row],[Egreso]]="","",YearToDateTable[[#This Row],[Ingreso]]-YearToDateTable[[#This Row],[Egreso]])</f>
        <v>3654.7099999999919</v>
      </c>
      <c r="G4" s="29">
        <f ca="1">IFERROR(YearToDateTable[[#This Row],[RESTANTES EN $]]/YearToDateTable[[#This Row],[Egreso]],"")</f>
        <v>3.8034868096995168E-2</v>
      </c>
    </row>
    <row r="5" spans="2:7" ht="39" customHeight="1" x14ac:dyDescent="0.35">
      <c r="B5" s="28">
        <v>64</v>
      </c>
      <c r="C5" s="36" t="s">
        <v>57</v>
      </c>
      <c r="D5" s="34">
        <f>'Fecha de recepción de recursos '!P11</f>
        <v>99743.12</v>
      </c>
      <c r="E5" s="34">
        <f ca="1">SUMIF(ResumenDeGastosMensuales[Clausula económica contractual],YearToDateTable[[#This Row],[Clausula económica contractual]],ResumenDeGastosMensuales[Total])</f>
        <v>69041.600000000006</v>
      </c>
      <c r="F5" s="35">
        <f ca="1">IF(YearToDateTable[[#This Row],[Egreso]]="","",YearToDateTable[[#This Row],[Ingreso]]-YearToDateTable[[#This Row],[Egreso]])</f>
        <v>30701.51999999999</v>
      </c>
      <c r="G5" s="29">
        <f ca="1">IFERROR(YearToDateTable[[#This Row],[RESTANTES EN $]]/YearToDateTable[[#This Row],[Egreso]],"")</f>
        <v>0.44468146740515846</v>
      </c>
    </row>
    <row r="6" spans="2:7" ht="39" customHeight="1" x14ac:dyDescent="0.35">
      <c r="B6" s="28">
        <v>66</v>
      </c>
      <c r="C6" s="36" t="s">
        <v>41</v>
      </c>
      <c r="D6" s="34">
        <f>'Fecha de recepción de recursos '!P12</f>
        <v>0</v>
      </c>
      <c r="E6" s="34">
        <f ca="1">SUMIF(ResumenDeGastosMensuales[Clausula económica contractual],YearToDateTable[[#This Row],[Clausula económica contractual]],ResumenDeGastosMensuales[Total])</f>
        <v>0</v>
      </c>
      <c r="F6" s="35">
        <f ca="1">IF(YearToDateTable[[#This Row],[Egreso]]="","",YearToDateTable[[#This Row],[Ingreso]]-YearToDateTable[[#This Row],[Egreso]])</f>
        <v>0</v>
      </c>
      <c r="G6" s="29" t="str">
        <f ca="1">IFERROR(YearToDateTable[[#This Row],[RESTANTES EN $]]/YearToDateTable[[#This Row],[Egreso]],"")</f>
        <v/>
      </c>
    </row>
    <row r="7" spans="2:7" ht="39" customHeight="1" x14ac:dyDescent="0.35">
      <c r="B7" s="28">
        <v>99</v>
      </c>
      <c r="C7" s="36" t="s">
        <v>42</v>
      </c>
      <c r="D7" s="34">
        <f>'Fecha de recepción de recursos '!P13</f>
        <v>570000</v>
      </c>
      <c r="E7" s="34">
        <f ca="1">SUMIF(ResumenDeGastosMensuales[Clausula económica contractual],YearToDateTable[[#This Row],[Clausula económica contractual]],ResumenDeGastosMensuales[Total])</f>
        <v>526874.28999999992</v>
      </c>
      <c r="F7" s="35">
        <f ca="1">IF(YearToDateTable[[#This Row],[Egreso]]="","",YearToDateTable[[#This Row],[Ingreso]]-YearToDateTable[[#This Row],[Egreso]])</f>
        <v>43125.710000000079</v>
      </c>
      <c r="G7" s="29">
        <f ca="1">IFERROR(YearToDateTable[[#This Row],[RESTANTES EN $]]/YearToDateTable[[#This Row],[Egreso]],"")</f>
        <v>8.1851991677179936E-2</v>
      </c>
    </row>
    <row r="8" spans="2:7" ht="39" customHeight="1" x14ac:dyDescent="0.35">
      <c r="B8" s="28">
        <v>2</v>
      </c>
      <c r="C8" s="36" t="s">
        <v>43</v>
      </c>
      <c r="D8" s="34">
        <f>'Fecha de recepción de recursos '!P14</f>
        <v>33931.58</v>
      </c>
      <c r="E8" s="34">
        <f ca="1">SUMIF(ResumenDeGastosMensuales[Clausula económica contractual],YearToDateTable[[#This Row],[Clausula económica contractual]],ResumenDeGastosMensuales[Total])</f>
        <v>20000</v>
      </c>
      <c r="F8" s="35">
        <f ca="1">IF(YearToDateTable[[#This Row],[Egreso]]="","",YearToDateTable[[#This Row],[Ingreso]]-YearToDateTable[[#This Row],[Egreso]])</f>
        <v>13931.580000000002</v>
      </c>
      <c r="G8" s="29">
        <f ca="1">IFERROR(YearToDateTable[[#This Row],[RESTANTES EN $]]/YearToDateTable[[#This Row],[Egreso]],"")</f>
        <v>0.69657900000000006</v>
      </c>
    </row>
    <row r="9" spans="2:7" ht="39" customHeight="1" x14ac:dyDescent="0.35">
      <c r="B9" s="28">
        <v>96</v>
      </c>
      <c r="C9" s="36" t="s">
        <v>44</v>
      </c>
      <c r="D9" s="34">
        <f>'Fecha de recepción de recursos '!P15</f>
        <v>0</v>
      </c>
      <c r="E9" s="34">
        <f ca="1">SUMIF(ResumenDeGastosMensuales[Clausula económica contractual],YearToDateTable[[#This Row],[Clausula económica contractual]],ResumenDeGastosMensuales[Total])</f>
        <v>0</v>
      </c>
      <c r="F9" s="35">
        <f ca="1">IF(YearToDateTable[[#This Row],[Egreso]]="","",YearToDateTable[[#This Row],[Ingreso]]-YearToDateTable[[#This Row],[Egreso]])</f>
        <v>0</v>
      </c>
      <c r="G9" s="29" t="str">
        <f ca="1">IFERROR(YearToDateTable[[#This Row],[RESTANTES EN $]]/YearToDateTable[[#This Row],[Egreso]],"")</f>
        <v/>
      </c>
    </row>
    <row r="10" spans="2:7" ht="39" customHeight="1" x14ac:dyDescent="0.35">
      <c r="B10" s="69" t="s">
        <v>1</v>
      </c>
      <c r="C10" s="69"/>
      <c r="D10" s="70">
        <f>SUBTOTAL(109,YearToDateTable[Ingreso])</f>
        <v>803417.82</v>
      </c>
      <c r="E10" s="70">
        <f ca="1">SUBTOTAL(109,YearToDateTable[Egreso])</f>
        <v>712004.29999999993</v>
      </c>
      <c r="F10" s="70">
        <f ca="1">SUBTOTAL(109,YearToDateTable[RESTANTES EN $])</f>
        <v>91413.520000000062</v>
      </c>
      <c r="G10" s="71">
        <f ca="1">YearToDateTable[[#Totals],[RESTANTES EN $]]/YearToDateTable[[#Totals],[Egreso]]</f>
        <v>0.12838899989789399</v>
      </c>
    </row>
    <row r="12" spans="2:7" ht="30" customHeight="1" x14ac:dyDescent="0.35">
      <c r="D12" s="68"/>
      <c r="E12" s="68"/>
      <c r="F12" s="68"/>
      <c r="G12" s="67"/>
    </row>
  </sheetData>
  <mergeCells count="1">
    <mergeCell ref="B2:E2"/>
  </mergeCells>
  <conditionalFormatting sqref="F4:F9">
    <cfRule type="dataBar" priority="4">
      <dataBar>
        <cfvo type="min"/>
        <cfvo type="max"/>
        <color rgb="FFFF555A"/>
      </dataBar>
      <extLst>
        <ext xmlns:x14="http://schemas.microsoft.com/office/spreadsheetml/2009/9/main" uri="{B025F937-C7B1-47D3-B67F-A62EFF666E3E}">
          <x14:id>{64C81F98-403B-4FC7-B043-331717AC59B0}</x14:id>
        </ext>
      </extLst>
    </cfRule>
  </conditionalFormatting>
  <dataValidations count="1">
    <dataValidation allowBlank="1" showErrorMessage="1" sqref="B1"/>
  </dataValidations>
  <printOptions horizontalCentered="1"/>
  <pageMargins left="0.4" right="0.4" top="0.4" bottom="0.6" header="0.3" footer="0.3"/>
  <pageSetup paperSize="9" scale="64"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Q12"/>
  <sheetViews>
    <sheetView showGridLines="0" zoomScaleNormal="100" workbookViewId="0">
      <selection activeCell="C5" sqref="C5"/>
    </sheetView>
  </sheetViews>
  <sheetFormatPr baseColWidth="10" defaultColWidth="8.75" defaultRowHeight="30" customHeight="1" x14ac:dyDescent="0.35"/>
  <cols>
    <col min="1" max="1" width="2.625" customWidth="1"/>
    <col min="2" max="2" width="21" customWidth="1"/>
    <col min="3" max="3" width="19" customWidth="1"/>
    <col min="4" max="16" width="13" customWidth="1"/>
  </cols>
  <sheetData>
    <row r="1" spans="2:17" ht="43.15" customHeight="1" x14ac:dyDescent="0.35"/>
    <row r="2" spans="2:17" ht="153" customHeight="1" x14ac:dyDescent="0.35">
      <c r="B2" s="83" t="s">
        <v>101</v>
      </c>
      <c r="C2" s="84"/>
      <c r="D2" s="84"/>
      <c r="E2" s="84"/>
      <c r="F2" s="84"/>
      <c r="G2" s="84"/>
      <c r="H2" s="84"/>
      <c r="I2" s="84"/>
      <c r="J2" s="84"/>
      <c r="K2" s="84"/>
      <c r="L2" s="84"/>
      <c r="M2" s="84"/>
      <c r="N2" s="84"/>
      <c r="O2" s="84"/>
      <c r="P2" s="84"/>
      <c r="Q2" s="84"/>
    </row>
    <row r="3" spans="2:17" ht="37.15" customHeight="1" x14ac:dyDescent="0.35">
      <c r="B3" s="4" t="s">
        <v>4</v>
      </c>
      <c r="D3" s="1">
        <f ca="1">DATEVALUE("1-ENE"&amp;_YEAR)</f>
        <v>43466</v>
      </c>
      <c r="E3" s="1">
        <f ca="1">DATEVALUE("1-FEB"&amp;_YEAR)</f>
        <v>43497</v>
      </c>
      <c r="F3" s="1">
        <f ca="1">DATEVALUE("1-MAR"&amp;_YEAR)</f>
        <v>43525</v>
      </c>
      <c r="G3" s="1">
        <f ca="1">DATEVALUE("1-ABR"&amp;_YEAR)</f>
        <v>43556</v>
      </c>
      <c r="H3" s="1">
        <f ca="1">DATEVALUE("1-MAY"&amp;_YEAR)</f>
        <v>43586</v>
      </c>
      <c r="I3" s="1">
        <f ca="1">DATEVALUE("1-JUN"&amp;_YEAR)</f>
        <v>43617</v>
      </c>
      <c r="J3" s="1">
        <f ca="1">DATEVALUE("1-JUL"&amp;_YEAR)</f>
        <v>43647</v>
      </c>
      <c r="K3" s="1">
        <f ca="1">DATEVALUE("1-AGO"&amp;_YEAR)</f>
        <v>43678</v>
      </c>
      <c r="L3" s="1">
        <f ca="1">DATEVALUE("1-SEP"&amp;_YEAR)</f>
        <v>43709</v>
      </c>
      <c r="M3" s="1">
        <f ca="1">DATEVALUE("1-OCT"&amp;_YEAR)</f>
        <v>43739</v>
      </c>
      <c r="N3" s="1">
        <f ca="1">DATEVALUE("1-NOV"&amp;_YEAR)</f>
        <v>43770</v>
      </c>
      <c r="O3" s="1">
        <f ca="1">DATEVALUE("1-DIC"&amp;_YEAR)</f>
        <v>43800</v>
      </c>
    </row>
    <row r="4" spans="2:17" ht="37.5" customHeight="1" x14ac:dyDescent="0.35">
      <c r="B4" s="4"/>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48" customHeight="1" x14ac:dyDescent="0.35">
      <c r="B5" s="19" t="s">
        <v>104</v>
      </c>
      <c r="C5" s="20" t="s">
        <v>106</v>
      </c>
      <c r="D5" s="20" t="s">
        <v>5</v>
      </c>
      <c r="E5" s="20" t="s">
        <v>6</v>
      </c>
      <c r="F5" s="20" t="s">
        <v>7</v>
      </c>
      <c r="G5" s="20" t="s">
        <v>8</v>
      </c>
      <c r="H5" s="20" t="s">
        <v>9</v>
      </c>
      <c r="I5" s="20" t="s">
        <v>10</v>
      </c>
      <c r="J5" s="20" t="s">
        <v>11</v>
      </c>
      <c r="K5" s="20" t="s">
        <v>12</v>
      </c>
      <c r="L5" s="20" t="s">
        <v>13</v>
      </c>
      <c r="M5" s="20" t="s">
        <v>14</v>
      </c>
      <c r="N5" s="20" t="s">
        <v>15</v>
      </c>
      <c r="O5" s="20" t="s">
        <v>16</v>
      </c>
      <c r="P5" s="20" t="s">
        <v>1</v>
      </c>
      <c r="Q5" s="27" t="s">
        <v>17</v>
      </c>
    </row>
    <row r="6" spans="2:17" ht="48" customHeight="1" x14ac:dyDescent="0.35">
      <c r="B6" s="5">
        <v>61</v>
      </c>
      <c r="C6" s="6" t="s">
        <v>40</v>
      </c>
      <c r="D6" s="37">
        <f ca="1">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6300.3899999999994</v>
      </c>
      <c r="E6" s="37">
        <f ca="1">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3556.14</v>
      </c>
      <c r="F6" s="37">
        <f ca="1">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9868.76</v>
      </c>
      <c r="G6" s="37">
        <f ca="1">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4781.5</v>
      </c>
      <c r="H6" s="37">
        <f ca="1">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16735.62</v>
      </c>
      <c r="I6" s="37">
        <f ca="1">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16000</v>
      </c>
      <c r="J6" s="37">
        <f ca="1">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6000</v>
      </c>
      <c r="K6" s="37">
        <f ca="1">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11694</v>
      </c>
      <c r="L6" s="37">
        <f ca="1">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21152</v>
      </c>
      <c r="M6" s="37">
        <f ca="1">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6" s="37">
        <f ca="1">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6" s="37">
        <f ca="1">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6" s="37">
        <f ca="1">SUM(ResumenDeGastosMensuales[[#This Row],[Enero]:[Diciembre]])</f>
        <v>96088.41</v>
      </c>
      <c r="Q6" s="7"/>
    </row>
    <row r="7" spans="2:17" ht="48" customHeight="1" x14ac:dyDescent="0.35">
      <c r="B7" s="8">
        <v>64</v>
      </c>
      <c r="C7" s="9" t="s">
        <v>57</v>
      </c>
      <c r="D7" s="38">
        <f ca="1">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10260.199999999999</v>
      </c>
      <c r="E7" s="38">
        <f ca="1">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10756.8</v>
      </c>
      <c r="F7" s="38">
        <f ca="1">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15562.28</v>
      </c>
      <c r="G7" s="38">
        <f ca="1">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7640.32</v>
      </c>
      <c r="H7" s="38">
        <f ca="1">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14456.2</v>
      </c>
      <c r="I7" s="38">
        <f ca="1">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556.79999999999995</v>
      </c>
      <c r="J7" s="38">
        <f ca="1">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1813.2</v>
      </c>
      <c r="K7" s="38">
        <f ca="1">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1656.6</v>
      </c>
      <c r="L7" s="38">
        <f ca="1">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6339.2</v>
      </c>
      <c r="M7" s="38">
        <f ca="1">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7" s="38">
        <f ca="1">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7" s="38">
        <f ca="1">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7" s="38">
        <f ca="1">SUM(ResumenDeGastosMensuales[[#This Row],[Enero]:[Diciembre]])</f>
        <v>69041.600000000006</v>
      </c>
      <c r="Q7" s="10"/>
    </row>
    <row r="8" spans="2:17" ht="48" customHeight="1" x14ac:dyDescent="0.35">
      <c r="B8" s="8">
        <v>66</v>
      </c>
      <c r="C8" s="9" t="s">
        <v>41</v>
      </c>
      <c r="D8" s="38">
        <f ca="1">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8" s="38">
        <f ca="1">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8" s="38">
        <f ca="1">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8" s="38">
        <f ca="1">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8" s="38">
        <f ca="1">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8" s="38">
        <f ca="1">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8" s="38">
        <f ca="1">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8" s="38">
        <f ca="1">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8" s="38">
        <f ca="1">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8" s="38">
        <f ca="1">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8" s="38">
        <f ca="1">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8" s="38">
        <f ca="1">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8" s="38">
        <f ca="1">SUM(ResumenDeGastosMensuales[[#This Row],[Enero]:[Diciembre]])</f>
        <v>0</v>
      </c>
      <c r="Q8" s="10"/>
    </row>
    <row r="9" spans="2:17" ht="48" customHeight="1" x14ac:dyDescent="0.35">
      <c r="B9" s="5">
        <v>99</v>
      </c>
      <c r="C9" s="6" t="s">
        <v>42</v>
      </c>
      <c r="D9" s="37">
        <f ca="1">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71778.97</v>
      </c>
      <c r="E9" s="37">
        <f ca="1">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57507.16</v>
      </c>
      <c r="F9" s="37">
        <f ca="1">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70597.97</v>
      </c>
      <c r="G9" s="37">
        <f ca="1">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40869.83</v>
      </c>
      <c r="H9" s="37">
        <f ca="1">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60632.28</v>
      </c>
      <c r="I9" s="37">
        <f ca="1">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77329.03</v>
      </c>
      <c r="J9" s="37">
        <f ca="1">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27471.73</v>
      </c>
      <c r="K9" s="37">
        <f ca="1">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67522.42</v>
      </c>
      <c r="L9" s="37">
        <f ca="1">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53164.9</v>
      </c>
      <c r="M9" s="37">
        <f ca="1">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9" s="37">
        <f ca="1">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9" s="37">
        <f ca="1">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9" s="37">
        <f ca="1">SUM(ResumenDeGastosMensuales[[#This Row],[Enero]:[Diciembre]])</f>
        <v>526874.28999999992</v>
      </c>
      <c r="Q9" s="7"/>
    </row>
    <row r="10" spans="2:17" ht="48" customHeight="1" x14ac:dyDescent="0.35">
      <c r="B10" s="8">
        <v>2</v>
      </c>
      <c r="C10" s="9" t="s">
        <v>43</v>
      </c>
      <c r="D10" s="38">
        <f ca="1">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0" s="38">
        <f ca="1">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20000</v>
      </c>
      <c r="F10" s="38">
        <f ca="1">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0" s="38">
        <f ca="1">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0" s="38">
        <f ca="1">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0" s="38">
        <f ca="1">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0" s="38">
        <f ca="1">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0" s="38">
        <f ca="1">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10" s="38">
        <f ca="1">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0" s="38">
        <f ca="1">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0" s="38">
        <f ca="1">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0" s="38">
        <f ca="1">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0" s="38">
        <f ca="1">SUM(ResumenDeGastosMensuales[[#This Row],[Enero]:[Diciembre]])</f>
        <v>20000</v>
      </c>
      <c r="Q10" s="10"/>
    </row>
    <row r="11" spans="2:17" ht="48" customHeight="1" x14ac:dyDescent="0.35">
      <c r="B11" s="5">
        <v>96</v>
      </c>
      <c r="C11" s="6" t="s">
        <v>44</v>
      </c>
      <c r="D11" s="37">
        <f ca="1">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1" s="37">
        <f ca="1">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11" s="37">
        <f ca="1">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1" s="37">
        <f ca="1">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1" s="37">
        <f ca="1">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1" s="37">
        <f ca="1">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1" s="37">
        <f ca="1">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1" s="37">
        <f ca="1">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11" s="37">
        <f ca="1">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1" s="37">
        <f ca="1">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1" s="37">
        <f ca="1">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1" s="37">
        <f ca="1">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1" s="37">
        <f ca="1">SUM(ResumenDeGastosMensuales[[#This Row],[Enero]:[Diciembre]])</f>
        <v>0</v>
      </c>
      <c r="Q11" s="7"/>
    </row>
    <row r="12" spans="2:17" ht="48" customHeight="1" x14ac:dyDescent="0.35">
      <c r="B12" s="79" t="s">
        <v>1</v>
      </c>
      <c r="C12" s="80"/>
      <c r="D12" s="81">
        <f ca="1">SUBTOTAL(109,ResumenDeGastosMensuales[Enero])</f>
        <v>88339.56</v>
      </c>
      <c r="E12" s="81">
        <f ca="1">SUBTOTAL(109,ResumenDeGastosMensuales[Febrero])</f>
        <v>91820.1</v>
      </c>
      <c r="F12" s="81">
        <f ca="1">SUBTOTAL(109,ResumenDeGastosMensuales[Marzo])</f>
        <v>96029.010000000009</v>
      </c>
      <c r="G12" s="81">
        <f ca="1">SUBTOTAL(109,ResumenDeGastosMensuales[Abril])</f>
        <v>53291.65</v>
      </c>
      <c r="H12" s="81">
        <f ca="1">SUBTOTAL(109,ResumenDeGastosMensuales[Mayo])</f>
        <v>91824.1</v>
      </c>
      <c r="I12" s="81">
        <f ca="1">SUBTOTAL(109,ResumenDeGastosMensuales[Junio])</f>
        <v>93885.83</v>
      </c>
      <c r="J12" s="81">
        <f ca="1">SUBTOTAL(109,ResumenDeGastosMensuales[Julio])</f>
        <v>35284.93</v>
      </c>
      <c r="K12" s="81">
        <f ca="1">SUBTOTAL(109,ResumenDeGastosMensuales[Agosto])</f>
        <v>80873.02</v>
      </c>
      <c r="L12" s="81">
        <f ca="1">SUBTOTAL(109,ResumenDeGastosMensuales[Septiembre])</f>
        <v>80656.100000000006</v>
      </c>
      <c r="M12" s="81">
        <f ca="1">SUBTOTAL(109,ResumenDeGastosMensuales[Octubre])</f>
        <v>0</v>
      </c>
      <c r="N12" s="81">
        <f ca="1">SUBTOTAL(109,ResumenDeGastosMensuales[Noviembre])</f>
        <v>0</v>
      </c>
      <c r="O12" s="81">
        <f ca="1">SUBTOTAL(109,ResumenDeGastosMensuales[Diciembre])</f>
        <v>0</v>
      </c>
      <c r="P12" s="81">
        <f ca="1">SUBTOTAL(109,ResumenDeGastosMensuales[Total])</f>
        <v>712004.29999999993</v>
      </c>
      <c r="Q12" s="80"/>
    </row>
  </sheetData>
  <mergeCells count="1">
    <mergeCell ref="B2:Q2"/>
  </mergeCells>
  <dataValidations count="7">
    <dataValidation allowBlank="1" showErrorMessage="1" prompt="Escriba el código de contabilidad en esta columna bajo este encabezado" sqref="B5"/>
    <dataValidation allowBlank="1" showErrorMessage="1" prompt="Escriba el título de cuenta en esta columna bajo este encabezado" sqref="C5"/>
    <dataValidation allowBlank="1" showErrorMessage="1" prompt="La cantidad real de este mes se calcula automáticamente en esta columna bajo este encabezado" sqref="D5:O5"/>
    <dataValidation allowBlank="1" showErrorMessage="1" prompt="El total se calcula automáticamente en esta columna, debajo de este encabezado" sqref="P5"/>
    <dataValidation allowBlank="1" showInputMessage="1" showErrorMessage="1" prompt="En esta columna se muestra un minigráfico en el que se visualiza la tendencia de un gasto durante 12 meses." sqref="Q5"/>
    <dataValidation allowBlank="1" showInputMessage="1" showErrorMessage="1" prompt="El vínculo de navegación se encuentra en esta celda. Seleccione esta opción para ir a la hoja de cálculo de Resumen de presupuesto del año actual" sqref="B1"/>
    <dataValidation allowBlank="1" showInputMessage="1" showErrorMessage="1" prompt="El vínculo de navegación se encuentra en esta celda. Seleccione esta opción para ir a la hoja de cálculo de Gastos detallados" sqref="C1"/>
  </dataValidations>
  <printOptions horizontalCentered="1"/>
  <pageMargins left="0.4" right="0.4" top="0.4" bottom="0.6" header="0.3" footer="0.3"/>
  <pageSetup paperSize="9" scale="61"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'Destino final de los recursos'!D6:O6</xm:f>
              <xm:sqref>Q6</xm:sqref>
            </x14:sparkline>
            <x14:sparkline>
              <xm:f>'Destino final de los recursos'!D7:O7</xm:f>
              <xm:sqref>Q7</xm:sqref>
            </x14:sparkline>
            <x14:sparkline>
              <xm:f>'Destino final de los recursos'!D8:O8</xm:f>
              <xm:sqref>Q8</xm:sqref>
            </x14:sparkline>
            <x14:sparkline>
              <xm:f>'Destino final de los recursos'!D9:O9</xm:f>
              <xm:sqref>Q9</xm:sqref>
            </x14:sparkline>
            <x14:sparkline>
              <xm:f>'Destino final de los recursos'!D10:O10</xm:f>
              <xm:sqref>Q10</xm:sqref>
            </x14:sparkline>
            <x14:sparkline>
              <xm:f>'Destino final de los recursos'!D11:O11</xm:f>
              <xm:sqref>Q11</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J210"/>
  <sheetViews>
    <sheetView showGridLines="0" workbookViewId="0">
      <pane xSplit="9" ySplit="4" topLeftCell="J206" activePane="bottomRight" state="frozen"/>
      <selection pane="topRight" activeCell="J1" sqref="J1"/>
      <selection pane="bottomLeft" activeCell="A5" sqref="A5"/>
      <selection pane="bottomRight" activeCell="H211" sqref="H211"/>
    </sheetView>
  </sheetViews>
  <sheetFormatPr baseColWidth="10" defaultColWidth="8.75" defaultRowHeight="30" customHeight="1" x14ac:dyDescent="0.35"/>
  <cols>
    <col min="1" max="1" width="2.625" customWidth="1"/>
    <col min="2" max="2" width="21" customWidth="1"/>
    <col min="3" max="3" width="19" customWidth="1"/>
    <col min="4" max="4" width="9.625" customWidth="1"/>
    <col min="5" max="5" width="30" customWidth="1"/>
    <col min="6" max="6" width="15.375" customWidth="1"/>
    <col min="7" max="7" width="30" customWidth="1"/>
    <col min="8" max="8" width="22.5" customWidth="1"/>
    <col min="9" max="9" width="14.625" customWidth="1"/>
    <col min="10" max="10" width="15.5" customWidth="1"/>
  </cols>
  <sheetData>
    <row r="1" spans="2:10" ht="42.6" customHeight="1" thickBot="1" x14ac:dyDescent="0.4"/>
    <row r="2" spans="2:10" ht="72" customHeight="1" thickBot="1" x14ac:dyDescent="0.4">
      <c r="B2" s="86" t="s">
        <v>100</v>
      </c>
      <c r="C2" s="87"/>
      <c r="D2" s="87"/>
      <c r="E2" s="87"/>
      <c r="F2" s="87"/>
      <c r="G2" s="87"/>
      <c r="H2" s="87"/>
      <c r="I2" s="87"/>
      <c r="J2" s="88"/>
    </row>
    <row r="3" spans="2:10" ht="83.45" customHeight="1" x14ac:dyDescent="0.35">
      <c r="B3" s="85"/>
      <c r="C3" s="85"/>
      <c r="D3" s="85"/>
      <c r="E3" s="85"/>
      <c r="F3" s="85"/>
      <c r="G3" s="85"/>
      <c r="H3" s="85"/>
      <c r="I3" s="85"/>
      <c r="J3" s="85"/>
    </row>
    <row r="4" spans="2:10" ht="97.5" x14ac:dyDescent="0.35">
      <c r="B4" s="24" t="s">
        <v>104</v>
      </c>
      <c r="C4" s="25" t="s">
        <v>102</v>
      </c>
      <c r="D4" s="25" t="s">
        <v>19</v>
      </c>
      <c r="E4" s="25" t="s">
        <v>20</v>
      </c>
      <c r="F4" s="25" t="s">
        <v>107</v>
      </c>
      <c r="G4" s="25" t="s">
        <v>103</v>
      </c>
      <c r="H4" s="25" t="s">
        <v>108</v>
      </c>
      <c r="I4" s="25" t="s">
        <v>23</v>
      </c>
      <c r="J4" s="26" t="s">
        <v>24</v>
      </c>
    </row>
    <row r="5" spans="2:10" ht="37.9" customHeight="1" x14ac:dyDescent="0.35">
      <c r="B5" s="59">
        <v>61</v>
      </c>
      <c r="C5" s="60">
        <v>43139</v>
      </c>
      <c r="D5" s="74" t="s">
        <v>51</v>
      </c>
      <c r="E5" s="61" t="s">
        <v>45</v>
      </c>
      <c r="F5" s="75">
        <v>500</v>
      </c>
      <c r="G5" s="42" t="s">
        <v>65</v>
      </c>
      <c r="H5" s="61" t="s">
        <v>54</v>
      </c>
      <c r="I5" s="61" t="s">
        <v>53</v>
      </c>
      <c r="J5" s="64">
        <v>43504</v>
      </c>
    </row>
    <row r="6" spans="2:10" ht="30" customHeight="1" x14ac:dyDescent="0.35">
      <c r="B6" s="39">
        <v>99</v>
      </c>
      <c r="C6" s="40">
        <v>43473</v>
      </c>
      <c r="D6" s="41" t="s">
        <v>51</v>
      </c>
      <c r="E6" s="42" t="s">
        <v>45</v>
      </c>
      <c r="F6" s="43">
        <v>200</v>
      </c>
      <c r="G6" s="93" t="s">
        <v>69</v>
      </c>
      <c r="H6" s="42" t="s">
        <v>55</v>
      </c>
      <c r="I6" s="42" t="s">
        <v>53</v>
      </c>
      <c r="J6" s="44">
        <v>43473</v>
      </c>
    </row>
    <row r="7" spans="2:10" ht="30" customHeight="1" x14ac:dyDescent="0.35">
      <c r="B7" s="39">
        <v>99</v>
      </c>
      <c r="C7" s="40">
        <v>43473</v>
      </c>
      <c r="D7" s="41" t="s">
        <v>51</v>
      </c>
      <c r="E7" s="61" t="s">
        <v>45</v>
      </c>
      <c r="F7" s="43">
        <v>9848.89</v>
      </c>
      <c r="G7" s="63" t="s">
        <v>70</v>
      </c>
      <c r="H7" s="42" t="s">
        <v>52</v>
      </c>
      <c r="I7" s="42" t="s">
        <v>49</v>
      </c>
      <c r="J7" s="44">
        <v>43473</v>
      </c>
    </row>
    <row r="8" spans="2:10" ht="30" customHeight="1" x14ac:dyDescent="0.35">
      <c r="B8" s="39">
        <v>61</v>
      </c>
      <c r="C8" s="40">
        <v>43474</v>
      </c>
      <c r="D8" s="41" t="s">
        <v>51</v>
      </c>
      <c r="E8" s="61" t="s">
        <v>45</v>
      </c>
      <c r="F8" s="43">
        <v>100</v>
      </c>
      <c r="G8" s="63" t="s">
        <v>65</v>
      </c>
      <c r="H8" s="42" t="s">
        <v>56</v>
      </c>
      <c r="I8" s="42" t="s">
        <v>53</v>
      </c>
      <c r="J8" s="44">
        <v>43474</v>
      </c>
    </row>
    <row r="9" spans="2:10" ht="30" customHeight="1" x14ac:dyDescent="0.35">
      <c r="B9" s="39">
        <v>99</v>
      </c>
      <c r="C9" s="40">
        <v>43474</v>
      </c>
      <c r="D9" s="41" t="s">
        <v>51</v>
      </c>
      <c r="E9" s="61" t="s">
        <v>45</v>
      </c>
      <c r="F9" s="43">
        <f>5+627.5+391.8+205+1985.2+1530+256.2</f>
        <v>5000.7</v>
      </c>
      <c r="G9" s="63" t="s">
        <v>70</v>
      </c>
      <c r="H9" s="42" t="s">
        <v>52</v>
      </c>
      <c r="I9" s="42" t="s">
        <v>53</v>
      </c>
      <c r="J9" s="44">
        <v>43474</v>
      </c>
    </row>
    <row r="10" spans="2:10" ht="30" customHeight="1" x14ac:dyDescent="0.35">
      <c r="B10" s="39">
        <v>99</v>
      </c>
      <c r="C10" s="40">
        <v>43474</v>
      </c>
      <c r="D10" s="41" t="s">
        <v>51</v>
      </c>
      <c r="E10" s="42" t="s">
        <v>45</v>
      </c>
      <c r="F10" s="43">
        <f>403.99+375.99</f>
        <v>779.98</v>
      </c>
      <c r="G10" s="42" t="s">
        <v>70</v>
      </c>
      <c r="H10" s="42" t="s">
        <v>52</v>
      </c>
      <c r="I10" s="42" t="s">
        <v>53</v>
      </c>
      <c r="J10" s="44">
        <v>43474</v>
      </c>
    </row>
    <row r="11" spans="2:10" ht="30" customHeight="1" x14ac:dyDescent="0.35">
      <c r="B11" s="39">
        <v>64</v>
      </c>
      <c r="C11" s="40">
        <v>43475</v>
      </c>
      <c r="D11" s="41">
        <v>4583</v>
      </c>
      <c r="E11" s="42" t="s">
        <v>45</v>
      </c>
      <c r="F11" s="43">
        <v>887.4</v>
      </c>
      <c r="G11" s="42" t="s">
        <v>48</v>
      </c>
      <c r="H11" s="42" t="s">
        <v>64</v>
      </c>
      <c r="I11" s="42" t="s">
        <v>49</v>
      </c>
      <c r="J11" s="44">
        <v>43475</v>
      </c>
    </row>
    <row r="12" spans="2:10" ht="30" customHeight="1" x14ac:dyDescent="0.35">
      <c r="B12" s="39">
        <v>99</v>
      </c>
      <c r="C12" s="40">
        <v>43476</v>
      </c>
      <c r="D12" s="41" t="s">
        <v>51</v>
      </c>
      <c r="E12" s="42" t="s">
        <v>45</v>
      </c>
      <c r="F12" s="43">
        <v>5428.8</v>
      </c>
      <c r="G12" s="42" t="s">
        <v>72</v>
      </c>
      <c r="H12" s="73" t="s">
        <v>75</v>
      </c>
      <c r="I12" s="42" t="s">
        <v>49</v>
      </c>
      <c r="J12" s="44">
        <v>43476</v>
      </c>
    </row>
    <row r="13" spans="2:10" ht="30" customHeight="1" x14ac:dyDescent="0.35">
      <c r="B13" s="39">
        <v>64</v>
      </c>
      <c r="C13" s="40">
        <v>43479</v>
      </c>
      <c r="D13" s="41">
        <v>4631</v>
      </c>
      <c r="E13" s="42" t="s">
        <v>45</v>
      </c>
      <c r="F13" s="43">
        <v>609</v>
      </c>
      <c r="G13" s="63" t="s">
        <v>48</v>
      </c>
      <c r="H13" s="42" t="s">
        <v>64</v>
      </c>
      <c r="I13" s="42" t="s">
        <v>49</v>
      </c>
      <c r="J13" s="44">
        <v>43479</v>
      </c>
    </row>
    <row r="14" spans="2:10" ht="30" customHeight="1" x14ac:dyDescent="0.35">
      <c r="B14" s="39">
        <v>64</v>
      </c>
      <c r="C14" s="40">
        <v>43480</v>
      </c>
      <c r="D14" s="41" t="s">
        <v>51</v>
      </c>
      <c r="E14" s="62" t="s">
        <v>45</v>
      </c>
      <c r="F14" s="43">
        <v>493</v>
      </c>
      <c r="G14" s="42" t="s">
        <v>48</v>
      </c>
      <c r="H14" s="42" t="s">
        <v>64</v>
      </c>
      <c r="I14" s="42" t="s">
        <v>53</v>
      </c>
      <c r="J14" s="44">
        <v>43480</v>
      </c>
    </row>
    <row r="15" spans="2:10" ht="30" customHeight="1" x14ac:dyDescent="0.35">
      <c r="B15" s="39">
        <v>99</v>
      </c>
      <c r="C15" s="40">
        <v>43480</v>
      </c>
      <c r="D15" s="41" t="s">
        <v>51</v>
      </c>
      <c r="E15" s="62" t="s">
        <v>45</v>
      </c>
      <c r="F15" s="43">
        <f>5+666.94+1879.61+851+1077+939.99</f>
        <v>5419.54</v>
      </c>
      <c r="G15" s="63" t="s">
        <v>70</v>
      </c>
      <c r="H15" s="42" t="s">
        <v>52</v>
      </c>
      <c r="I15" s="42" t="s">
        <v>53</v>
      </c>
      <c r="J15" s="44">
        <v>43480</v>
      </c>
    </row>
    <row r="16" spans="2:10" ht="30" customHeight="1" x14ac:dyDescent="0.35">
      <c r="B16" s="39">
        <v>61</v>
      </c>
      <c r="C16" s="40">
        <v>43481</v>
      </c>
      <c r="D16" s="41" t="s">
        <v>51</v>
      </c>
      <c r="E16" s="62" t="s">
        <v>45</v>
      </c>
      <c r="F16" s="43">
        <v>500</v>
      </c>
      <c r="G16" s="63" t="s">
        <v>65</v>
      </c>
      <c r="H16" s="42" t="s">
        <v>54</v>
      </c>
      <c r="I16" s="42" t="s">
        <v>53</v>
      </c>
      <c r="J16" s="44">
        <v>43481</v>
      </c>
    </row>
    <row r="17" spans="2:10" ht="30" customHeight="1" x14ac:dyDescent="0.35">
      <c r="B17" s="39">
        <v>61</v>
      </c>
      <c r="C17" s="40">
        <v>43481</v>
      </c>
      <c r="D17" s="41" t="s">
        <v>51</v>
      </c>
      <c r="E17" s="62" t="s">
        <v>45</v>
      </c>
      <c r="F17" s="43">
        <v>500</v>
      </c>
      <c r="G17" s="42" t="s">
        <v>65</v>
      </c>
      <c r="H17" s="42" t="s">
        <v>54</v>
      </c>
      <c r="I17" s="42" t="s">
        <v>53</v>
      </c>
      <c r="J17" s="44">
        <v>43481</v>
      </c>
    </row>
    <row r="18" spans="2:10" ht="30" customHeight="1" x14ac:dyDescent="0.35">
      <c r="B18" s="39">
        <v>64</v>
      </c>
      <c r="C18" s="40">
        <v>43482</v>
      </c>
      <c r="D18" s="41" t="s">
        <v>51</v>
      </c>
      <c r="E18" s="62" t="s">
        <v>45</v>
      </c>
      <c r="F18" s="43">
        <v>638</v>
      </c>
      <c r="G18" s="63" t="s">
        <v>48</v>
      </c>
      <c r="H18" s="42" t="s">
        <v>64</v>
      </c>
      <c r="I18" s="42" t="s">
        <v>49</v>
      </c>
      <c r="J18" s="44">
        <v>43482</v>
      </c>
    </row>
    <row r="19" spans="2:10" ht="30" customHeight="1" x14ac:dyDescent="0.35">
      <c r="B19" s="39">
        <v>99</v>
      </c>
      <c r="C19" s="40">
        <v>43482</v>
      </c>
      <c r="D19" s="41" t="s">
        <v>51</v>
      </c>
      <c r="E19" s="66" t="s">
        <v>45</v>
      </c>
      <c r="F19" s="43">
        <v>7020</v>
      </c>
      <c r="G19" s="42" t="s">
        <v>70</v>
      </c>
      <c r="H19" s="42" t="s">
        <v>52</v>
      </c>
      <c r="I19" s="42" t="s">
        <v>49</v>
      </c>
      <c r="J19" s="44">
        <v>43482</v>
      </c>
    </row>
    <row r="20" spans="2:10" ht="30" customHeight="1" x14ac:dyDescent="0.35">
      <c r="B20" s="39">
        <v>99</v>
      </c>
      <c r="C20" s="40">
        <v>43482</v>
      </c>
      <c r="D20" s="41" t="s">
        <v>51</v>
      </c>
      <c r="E20" s="62" t="s">
        <v>45</v>
      </c>
      <c r="F20" s="43">
        <v>7673.4</v>
      </c>
      <c r="G20" s="42" t="s">
        <v>72</v>
      </c>
      <c r="H20" s="73" t="s">
        <v>76</v>
      </c>
      <c r="I20" s="42" t="s">
        <v>49</v>
      </c>
      <c r="J20" s="44">
        <v>43482</v>
      </c>
    </row>
    <row r="21" spans="2:10" ht="30" customHeight="1" x14ac:dyDescent="0.35">
      <c r="B21" s="39">
        <v>61</v>
      </c>
      <c r="C21" s="40">
        <v>43483</v>
      </c>
      <c r="D21" s="41" t="s">
        <v>51</v>
      </c>
      <c r="E21" s="62" t="s">
        <v>45</v>
      </c>
      <c r="F21" s="43">
        <v>50</v>
      </c>
      <c r="G21" s="42" t="s">
        <v>65</v>
      </c>
      <c r="H21" s="42" t="s">
        <v>54</v>
      </c>
      <c r="I21" s="42" t="s">
        <v>53</v>
      </c>
      <c r="J21" s="44">
        <v>43483</v>
      </c>
    </row>
    <row r="22" spans="2:10" ht="30" customHeight="1" x14ac:dyDescent="0.35">
      <c r="B22" s="39">
        <v>61</v>
      </c>
      <c r="C22" s="40">
        <v>43483</v>
      </c>
      <c r="D22" s="41">
        <v>8927</v>
      </c>
      <c r="E22" s="61" t="s">
        <v>45</v>
      </c>
      <c r="F22" s="43">
        <v>3644.39</v>
      </c>
      <c r="G22" s="63" t="s">
        <v>48</v>
      </c>
      <c r="H22" s="42" t="s">
        <v>66</v>
      </c>
      <c r="I22" s="42" t="s">
        <v>39</v>
      </c>
      <c r="J22" s="44">
        <v>43483</v>
      </c>
    </row>
    <row r="23" spans="2:10" ht="30" customHeight="1" x14ac:dyDescent="0.35">
      <c r="B23" s="39">
        <v>64</v>
      </c>
      <c r="C23" s="40">
        <v>43486</v>
      </c>
      <c r="D23" s="41">
        <v>4788</v>
      </c>
      <c r="E23" s="66" t="s">
        <v>45</v>
      </c>
      <c r="F23" s="43">
        <v>1252.8</v>
      </c>
      <c r="G23" s="63" t="s">
        <v>48</v>
      </c>
      <c r="H23" s="42" t="s">
        <v>64</v>
      </c>
      <c r="I23" s="42" t="s">
        <v>49</v>
      </c>
      <c r="J23" s="44">
        <v>43486</v>
      </c>
    </row>
    <row r="24" spans="2:10" ht="30" customHeight="1" x14ac:dyDescent="0.35">
      <c r="B24" s="39">
        <v>99</v>
      </c>
      <c r="C24" s="40">
        <v>43486</v>
      </c>
      <c r="D24" s="41" t="s">
        <v>51</v>
      </c>
      <c r="E24" s="66" t="s">
        <v>45</v>
      </c>
      <c r="F24" s="43">
        <v>120</v>
      </c>
      <c r="G24" s="93" t="s">
        <v>69</v>
      </c>
      <c r="H24" s="42" t="s">
        <v>55</v>
      </c>
      <c r="I24" s="42" t="s">
        <v>53</v>
      </c>
      <c r="J24" s="44">
        <v>43486</v>
      </c>
    </row>
    <row r="25" spans="2:10" ht="30" customHeight="1" x14ac:dyDescent="0.35">
      <c r="B25" s="39">
        <v>64</v>
      </c>
      <c r="C25" s="40">
        <v>43487</v>
      </c>
      <c r="D25" s="41">
        <v>4837</v>
      </c>
      <c r="E25" s="66" t="s">
        <v>45</v>
      </c>
      <c r="F25" s="43">
        <v>754</v>
      </c>
      <c r="G25" s="42" t="s">
        <v>48</v>
      </c>
      <c r="H25" s="42" t="s">
        <v>64</v>
      </c>
      <c r="I25" s="42" t="s">
        <v>49</v>
      </c>
      <c r="J25" s="44">
        <v>43487</v>
      </c>
    </row>
    <row r="26" spans="2:10" ht="30" customHeight="1" x14ac:dyDescent="0.35">
      <c r="B26" s="39">
        <v>99</v>
      </c>
      <c r="C26" s="40">
        <v>43487</v>
      </c>
      <c r="D26" s="41">
        <v>3017</v>
      </c>
      <c r="E26" s="66" t="s">
        <v>45</v>
      </c>
      <c r="F26" s="43">
        <v>1137.75</v>
      </c>
      <c r="G26" s="63" t="s">
        <v>70</v>
      </c>
      <c r="H26" s="42" t="s">
        <v>52</v>
      </c>
      <c r="I26" s="42" t="s">
        <v>53</v>
      </c>
      <c r="J26" s="44">
        <v>43487</v>
      </c>
    </row>
    <row r="27" spans="2:10" ht="30" customHeight="1" x14ac:dyDescent="0.35">
      <c r="B27" s="39">
        <v>99</v>
      </c>
      <c r="C27" s="40">
        <v>43487</v>
      </c>
      <c r="D27" s="41" t="s">
        <v>51</v>
      </c>
      <c r="E27" s="66" t="s">
        <v>45</v>
      </c>
      <c r="F27" s="43">
        <f>706.91+22.41</f>
        <v>729.31999999999994</v>
      </c>
      <c r="G27" s="42" t="s">
        <v>70</v>
      </c>
      <c r="H27" s="42" t="s">
        <v>52</v>
      </c>
      <c r="I27" s="42" t="s">
        <v>53</v>
      </c>
      <c r="J27" s="44">
        <v>43487</v>
      </c>
    </row>
    <row r="28" spans="2:10" ht="30" customHeight="1" x14ac:dyDescent="0.35">
      <c r="B28" s="39">
        <v>64</v>
      </c>
      <c r="C28" s="40">
        <v>43489</v>
      </c>
      <c r="D28" s="41">
        <v>4904</v>
      </c>
      <c r="E28" s="66" t="s">
        <v>45</v>
      </c>
      <c r="F28" s="43">
        <v>719.2</v>
      </c>
      <c r="G28" s="63" t="s">
        <v>48</v>
      </c>
      <c r="H28" s="42" t="s">
        <v>64</v>
      </c>
      <c r="I28" s="42" t="s">
        <v>49</v>
      </c>
      <c r="J28" s="44">
        <v>43489</v>
      </c>
    </row>
    <row r="29" spans="2:10" ht="30" customHeight="1" x14ac:dyDescent="0.35">
      <c r="B29" s="39">
        <v>99</v>
      </c>
      <c r="C29" s="40">
        <v>43489</v>
      </c>
      <c r="D29" s="41" t="s">
        <v>51</v>
      </c>
      <c r="E29" s="66" t="s">
        <v>45</v>
      </c>
      <c r="F29" s="43">
        <v>7305</v>
      </c>
      <c r="G29" s="42" t="s">
        <v>70</v>
      </c>
      <c r="H29" s="42" t="s">
        <v>52</v>
      </c>
      <c r="I29" s="42" t="s">
        <v>49</v>
      </c>
      <c r="J29" s="44">
        <v>43489</v>
      </c>
    </row>
    <row r="30" spans="2:10" ht="30" customHeight="1" x14ac:dyDescent="0.35">
      <c r="B30" s="39">
        <v>99</v>
      </c>
      <c r="C30" s="40">
        <v>43489</v>
      </c>
      <c r="D30" s="41" t="s">
        <v>51</v>
      </c>
      <c r="E30" s="66" t="s">
        <v>45</v>
      </c>
      <c r="F30" s="43">
        <v>9239.4</v>
      </c>
      <c r="G30" s="63" t="s">
        <v>72</v>
      </c>
      <c r="H30" s="73" t="s">
        <v>77</v>
      </c>
      <c r="I30" s="42" t="s">
        <v>49</v>
      </c>
      <c r="J30" s="44">
        <v>43489</v>
      </c>
    </row>
    <row r="31" spans="2:10" ht="30" customHeight="1" x14ac:dyDescent="0.35">
      <c r="B31" s="39">
        <v>61</v>
      </c>
      <c r="C31" s="40">
        <v>43490</v>
      </c>
      <c r="D31" s="41" t="s">
        <v>51</v>
      </c>
      <c r="E31" s="61" t="s">
        <v>45</v>
      </c>
      <c r="F31" s="43">
        <v>500</v>
      </c>
      <c r="G31" s="42" t="s">
        <v>65</v>
      </c>
      <c r="H31" s="42" t="s">
        <v>54</v>
      </c>
      <c r="I31" s="42" t="s">
        <v>53</v>
      </c>
      <c r="J31" s="44">
        <v>43490</v>
      </c>
    </row>
    <row r="32" spans="2:10" ht="30" customHeight="1" x14ac:dyDescent="0.35">
      <c r="B32" s="39">
        <v>61</v>
      </c>
      <c r="C32" s="40">
        <v>43490</v>
      </c>
      <c r="D32" s="41" t="s">
        <v>51</v>
      </c>
      <c r="E32" s="61" t="s">
        <v>45</v>
      </c>
      <c r="F32" s="43">
        <v>100</v>
      </c>
      <c r="G32" s="63" t="s">
        <v>65</v>
      </c>
      <c r="H32" s="42" t="s">
        <v>54</v>
      </c>
      <c r="I32" s="42" t="s">
        <v>53</v>
      </c>
      <c r="J32" s="44">
        <v>43490</v>
      </c>
    </row>
    <row r="33" spans="2:10" ht="30" customHeight="1" x14ac:dyDescent="0.35">
      <c r="B33" s="39">
        <v>99</v>
      </c>
      <c r="C33" s="40">
        <v>43490</v>
      </c>
      <c r="D33" s="41" t="s">
        <v>51</v>
      </c>
      <c r="E33" s="61" t="s">
        <v>45</v>
      </c>
      <c r="F33" s="43">
        <f>3565.45+5+626.3+1089.7+5+5</f>
        <v>5296.45</v>
      </c>
      <c r="G33" s="42" t="s">
        <v>70</v>
      </c>
      <c r="H33" s="42" t="s">
        <v>52</v>
      </c>
      <c r="I33" s="42" t="s">
        <v>53</v>
      </c>
      <c r="J33" s="44">
        <v>43490</v>
      </c>
    </row>
    <row r="34" spans="2:10" ht="30" customHeight="1" x14ac:dyDescent="0.35">
      <c r="B34" s="39">
        <v>64</v>
      </c>
      <c r="C34" s="40">
        <v>43493</v>
      </c>
      <c r="D34" s="41">
        <v>4953</v>
      </c>
      <c r="E34" s="61" t="s">
        <v>45</v>
      </c>
      <c r="F34" s="43">
        <v>765.6</v>
      </c>
      <c r="G34" s="42" t="s">
        <v>48</v>
      </c>
      <c r="H34" s="42" t="s">
        <v>64</v>
      </c>
      <c r="I34" s="42" t="s">
        <v>49</v>
      </c>
      <c r="J34" s="44">
        <v>43493</v>
      </c>
    </row>
    <row r="35" spans="2:10" ht="30" customHeight="1" x14ac:dyDescent="0.35">
      <c r="B35" s="39">
        <v>99</v>
      </c>
      <c r="C35" s="40">
        <v>43493</v>
      </c>
      <c r="D35" s="41" t="s">
        <v>51</v>
      </c>
      <c r="E35" s="61" t="s">
        <v>45</v>
      </c>
      <c r="F35" s="43">
        <v>120</v>
      </c>
      <c r="G35" s="93" t="s">
        <v>69</v>
      </c>
      <c r="H35" s="42" t="s">
        <v>55</v>
      </c>
      <c r="I35" s="42" t="s">
        <v>53</v>
      </c>
      <c r="J35" s="44">
        <v>43493</v>
      </c>
    </row>
    <row r="36" spans="2:10" ht="30" customHeight="1" x14ac:dyDescent="0.35">
      <c r="B36" s="39">
        <v>64</v>
      </c>
      <c r="C36" s="40">
        <v>43494</v>
      </c>
      <c r="D36" s="41">
        <v>4997</v>
      </c>
      <c r="E36" s="61" t="s">
        <v>45</v>
      </c>
      <c r="F36" s="43">
        <v>1061.4000000000001</v>
      </c>
      <c r="G36" s="42" t="s">
        <v>48</v>
      </c>
      <c r="H36" s="42" t="s">
        <v>64</v>
      </c>
      <c r="I36" s="42" t="s">
        <v>49</v>
      </c>
      <c r="J36" s="44">
        <v>43494</v>
      </c>
    </row>
    <row r="37" spans="2:10" ht="30" customHeight="1" x14ac:dyDescent="0.35">
      <c r="B37" s="39">
        <v>99</v>
      </c>
      <c r="C37" s="40">
        <v>43494</v>
      </c>
      <c r="D37" s="41">
        <v>1144</v>
      </c>
      <c r="E37" s="66" t="s">
        <v>45</v>
      </c>
      <c r="F37" s="43">
        <v>3923.52</v>
      </c>
      <c r="G37" s="93" t="s">
        <v>69</v>
      </c>
      <c r="H37" s="42" t="s">
        <v>60</v>
      </c>
      <c r="I37" s="42" t="s">
        <v>49</v>
      </c>
      <c r="J37" s="44">
        <v>43494</v>
      </c>
    </row>
    <row r="38" spans="2:10" ht="30" customHeight="1" x14ac:dyDescent="0.35">
      <c r="B38" s="39">
        <v>99</v>
      </c>
      <c r="C38" s="40">
        <v>43494</v>
      </c>
      <c r="D38" s="41" t="s">
        <v>51</v>
      </c>
      <c r="E38" s="61" t="s">
        <v>45</v>
      </c>
      <c r="F38" s="43">
        <f>620.01+1140.6</f>
        <v>1760.61</v>
      </c>
      <c r="G38" s="42" t="s">
        <v>70</v>
      </c>
      <c r="H38" s="42" t="s">
        <v>52</v>
      </c>
      <c r="I38" s="42" t="s">
        <v>53</v>
      </c>
      <c r="J38" s="44">
        <v>43494</v>
      </c>
    </row>
    <row r="39" spans="2:10" ht="30" customHeight="1" x14ac:dyDescent="0.35">
      <c r="B39" s="54">
        <v>61</v>
      </c>
      <c r="C39" s="40">
        <v>43495</v>
      </c>
      <c r="D39" s="55">
        <v>1000</v>
      </c>
      <c r="E39" s="58" t="s">
        <v>45</v>
      </c>
      <c r="F39" s="57">
        <v>406</v>
      </c>
      <c r="G39" s="56" t="s">
        <v>71</v>
      </c>
      <c r="H39" s="56" t="s">
        <v>67</v>
      </c>
      <c r="I39" s="56" t="s">
        <v>49</v>
      </c>
      <c r="J39" s="44">
        <v>43495</v>
      </c>
    </row>
    <row r="40" spans="2:10" ht="30" customHeight="1" x14ac:dyDescent="0.35">
      <c r="B40" s="39">
        <v>61</v>
      </c>
      <c r="C40" s="40">
        <v>43495</v>
      </c>
      <c r="D40" s="41" t="s">
        <v>51</v>
      </c>
      <c r="E40" s="42" t="s">
        <v>45</v>
      </c>
      <c r="F40" s="43">
        <v>500</v>
      </c>
      <c r="G40" s="42" t="s">
        <v>65</v>
      </c>
      <c r="H40" s="42" t="s">
        <v>54</v>
      </c>
      <c r="I40" s="42" t="s">
        <v>53</v>
      </c>
      <c r="J40" s="44">
        <v>43495</v>
      </c>
    </row>
    <row r="41" spans="2:10" ht="30" customHeight="1" x14ac:dyDescent="0.35">
      <c r="B41" s="39">
        <v>64</v>
      </c>
      <c r="C41" s="40">
        <v>43495</v>
      </c>
      <c r="D41" s="41">
        <v>5035</v>
      </c>
      <c r="E41" s="42" t="s">
        <v>45</v>
      </c>
      <c r="F41" s="43">
        <v>1769</v>
      </c>
      <c r="G41" s="63" t="s">
        <v>48</v>
      </c>
      <c r="H41" s="42" t="s">
        <v>64</v>
      </c>
      <c r="I41" s="42" t="s">
        <v>49</v>
      </c>
      <c r="J41" s="44">
        <v>43495</v>
      </c>
    </row>
    <row r="42" spans="2:10" ht="30" customHeight="1" x14ac:dyDescent="0.35">
      <c r="B42" s="39">
        <v>64</v>
      </c>
      <c r="C42" s="40">
        <v>43496</v>
      </c>
      <c r="D42" s="41">
        <v>5077</v>
      </c>
      <c r="E42" s="42" t="s">
        <v>45</v>
      </c>
      <c r="F42" s="43">
        <v>1310.8</v>
      </c>
      <c r="G42" s="63" t="s">
        <v>48</v>
      </c>
      <c r="H42" s="42" t="s">
        <v>64</v>
      </c>
      <c r="I42" s="42" t="s">
        <v>49</v>
      </c>
      <c r="J42" s="44">
        <v>43496</v>
      </c>
    </row>
    <row r="43" spans="2:10" ht="30" customHeight="1" x14ac:dyDescent="0.35">
      <c r="B43" s="39">
        <v>99</v>
      </c>
      <c r="C43" s="40">
        <v>43496</v>
      </c>
      <c r="D43" s="41" t="s">
        <v>51</v>
      </c>
      <c r="E43" s="42" t="s">
        <v>45</v>
      </c>
      <c r="F43" s="43">
        <f>586.16+5+184.45</f>
        <v>775.6099999999999</v>
      </c>
      <c r="G43" s="63" t="s">
        <v>70</v>
      </c>
      <c r="H43" s="42" t="s">
        <v>52</v>
      </c>
      <c r="I43" s="42" t="s">
        <v>53</v>
      </c>
      <c r="J43" s="44">
        <v>43496</v>
      </c>
    </row>
    <row r="44" spans="2:10" ht="30" customHeight="1" x14ac:dyDescent="0.35">
      <c r="B44" s="39">
        <v>64</v>
      </c>
      <c r="C44" s="40">
        <v>43497</v>
      </c>
      <c r="D44" s="41">
        <v>5097</v>
      </c>
      <c r="E44" s="42" t="s">
        <v>45</v>
      </c>
      <c r="F44" s="43">
        <v>1508</v>
      </c>
      <c r="G44" s="63" t="s">
        <v>48</v>
      </c>
      <c r="H44" s="42" t="s">
        <v>64</v>
      </c>
      <c r="I44" s="42" t="s">
        <v>49</v>
      </c>
      <c r="J44" s="44">
        <v>43497</v>
      </c>
    </row>
    <row r="45" spans="2:10" ht="30" customHeight="1" x14ac:dyDescent="0.35">
      <c r="B45" s="39">
        <v>99</v>
      </c>
      <c r="C45" s="40">
        <v>43497</v>
      </c>
      <c r="D45" s="41" t="s">
        <v>51</v>
      </c>
      <c r="E45" s="42" t="s">
        <v>45</v>
      </c>
      <c r="F45" s="43">
        <f>173.5+28+50</f>
        <v>251.5</v>
      </c>
      <c r="G45" s="42" t="s">
        <v>70</v>
      </c>
      <c r="H45" s="42" t="s">
        <v>52</v>
      </c>
      <c r="I45" s="42" t="s">
        <v>53</v>
      </c>
      <c r="J45" s="44">
        <v>43497</v>
      </c>
    </row>
    <row r="46" spans="2:10" ht="30" customHeight="1" x14ac:dyDescent="0.35">
      <c r="B46" s="39">
        <v>99</v>
      </c>
      <c r="C46" s="40">
        <v>43497</v>
      </c>
      <c r="D46" s="41" t="s">
        <v>51</v>
      </c>
      <c r="E46" s="42" t="s">
        <v>45</v>
      </c>
      <c r="F46" s="43">
        <v>9657</v>
      </c>
      <c r="G46" s="63" t="s">
        <v>72</v>
      </c>
      <c r="H46" s="73" t="s">
        <v>78</v>
      </c>
      <c r="I46" s="42" t="s">
        <v>49</v>
      </c>
      <c r="J46" s="44">
        <v>43497</v>
      </c>
    </row>
    <row r="47" spans="2:10" ht="30" customHeight="1" x14ac:dyDescent="0.35">
      <c r="B47" s="39">
        <v>61</v>
      </c>
      <c r="C47" s="40">
        <v>43501</v>
      </c>
      <c r="D47" s="41" t="s">
        <v>51</v>
      </c>
      <c r="E47" s="42" t="s">
        <v>45</v>
      </c>
      <c r="F47" s="43">
        <v>350.14</v>
      </c>
      <c r="G47" s="42" t="s">
        <v>65</v>
      </c>
      <c r="H47" s="42" t="s">
        <v>54</v>
      </c>
      <c r="I47" s="42" t="s">
        <v>53</v>
      </c>
      <c r="J47" s="44">
        <v>43502</v>
      </c>
    </row>
    <row r="48" spans="2:10" ht="30" customHeight="1" x14ac:dyDescent="0.35">
      <c r="B48" s="39">
        <v>99</v>
      </c>
      <c r="C48" s="40">
        <v>43501</v>
      </c>
      <c r="D48" s="41" t="s">
        <v>51</v>
      </c>
      <c r="E48" s="42" t="s">
        <v>45</v>
      </c>
      <c r="F48" s="43">
        <v>120</v>
      </c>
      <c r="G48" s="93" t="s">
        <v>69</v>
      </c>
      <c r="H48" s="42" t="s">
        <v>55</v>
      </c>
      <c r="I48" s="42" t="s">
        <v>53</v>
      </c>
      <c r="J48" s="44">
        <v>43501</v>
      </c>
    </row>
    <row r="49" spans="2:10" ht="30" customHeight="1" x14ac:dyDescent="0.35">
      <c r="B49" s="39">
        <v>99</v>
      </c>
      <c r="C49" s="40">
        <v>43502</v>
      </c>
      <c r="D49" s="41" t="s">
        <v>51</v>
      </c>
      <c r="E49" s="42" t="s">
        <v>45</v>
      </c>
      <c r="F49" s="43">
        <v>195</v>
      </c>
      <c r="G49" s="42" t="s">
        <v>70</v>
      </c>
      <c r="H49" s="42" t="s">
        <v>52</v>
      </c>
      <c r="I49" s="42" t="s">
        <v>53</v>
      </c>
      <c r="J49" s="44">
        <v>43502</v>
      </c>
    </row>
    <row r="50" spans="2:10" ht="30" customHeight="1" x14ac:dyDescent="0.35">
      <c r="B50" s="39">
        <v>64</v>
      </c>
      <c r="C50" s="40">
        <v>43503</v>
      </c>
      <c r="D50" s="41">
        <v>5196</v>
      </c>
      <c r="E50" s="42" t="s">
        <v>45</v>
      </c>
      <c r="F50" s="43">
        <v>1763.2</v>
      </c>
      <c r="G50" s="42" t="s">
        <v>48</v>
      </c>
      <c r="H50" s="42" t="s">
        <v>64</v>
      </c>
      <c r="I50" s="42" t="s">
        <v>49</v>
      </c>
      <c r="J50" s="44">
        <v>43503</v>
      </c>
    </row>
    <row r="51" spans="2:10" ht="30" customHeight="1" x14ac:dyDescent="0.35">
      <c r="B51" s="39">
        <v>99</v>
      </c>
      <c r="C51" s="40">
        <v>43503</v>
      </c>
      <c r="D51" s="41" t="s">
        <v>51</v>
      </c>
      <c r="E51" s="42" t="s">
        <v>45</v>
      </c>
      <c r="F51" s="43">
        <f>745.4+665.3+1513.33+340+390+5+10+26</f>
        <v>3695.0299999999997</v>
      </c>
      <c r="G51" s="42" t="s">
        <v>70</v>
      </c>
      <c r="H51" s="42" t="s">
        <v>52</v>
      </c>
      <c r="I51" s="42" t="s">
        <v>53</v>
      </c>
      <c r="J51" s="44">
        <v>43503</v>
      </c>
    </row>
    <row r="52" spans="2:10" ht="30" customHeight="1" x14ac:dyDescent="0.35">
      <c r="B52" s="39">
        <v>61</v>
      </c>
      <c r="C52" s="40">
        <v>43504</v>
      </c>
      <c r="D52" s="41" t="s">
        <v>51</v>
      </c>
      <c r="E52" s="42" t="s">
        <v>45</v>
      </c>
      <c r="F52" s="43">
        <v>545</v>
      </c>
      <c r="G52" s="63" t="s">
        <v>65</v>
      </c>
      <c r="H52" s="42" t="s">
        <v>54</v>
      </c>
      <c r="I52" s="42" t="s">
        <v>53</v>
      </c>
      <c r="J52" s="44">
        <v>43504</v>
      </c>
    </row>
    <row r="53" spans="2:10" ht="30" customHeight="1" x14ac:dyDescent="0.35">
      <c r="B53" s="39">
        <v>64</v>
      </c>
      <c r="C53" s="40">
        <v>43504</v>
      </c>
      <c r="D53" s="41">
        <v>5169</v>
      </c>
      <c r="E53" s="42" t="s">
        <v>45</v>
      </c>
      <c r="F53" s="43">
        <v>916.4</v>
      </c>
      <c r="G53" s="63" t="s">
        <v>48</v>
      </c>
      <c r="H53" s="42" t="s">
        <v>64</v>
      </c>
      <c r="I53" s="42" t="s">
        <v>49</v>
      </c>
      <c r="J53" s="44">
        <v>43504</v>
      </c>
    </row>
    <row r="54" spans="2:10" ht="30" customHeight="1" x14ac:dyDescent="0.35">
      <c r="B54" s="39">
        <v>99</v>
      </c>
      <c r="C54" s="40">
        <v>43504</v>
      </c>
      <c r="D54" s="41" t="s">
        <v>51</v>
      </c>
      <c r="E54" s="42" t="s">
        <v>45</v>
      </c>
      <c r="F54" s="43">
        <v>7412.4</v>
      </c>
      <c r="G54" s="42" t="s">
        <v>72</v>
      </c>
      <c r="H54" s="73" t="s">
        <v>79</v>
      </c>
      <c r="I54" s="42" t="s">
        <v>49</v>
      </c>
      <c r="J54" s="44">
        <v>43504</v>
      </c>
    </row>
    <row r="55" spans="2:10" ht="30" customHeight="1" x14ac:dyDescent="0.35">
      <c r="B55" s="39">
        <v>64</v>
      </c>
      <c r="C55" s="40">
        <v>43507</v>
      </c>
      <c r="D55" s="41">
        <v>5258</v>
      </c>
      <c r="E55" s="42" t="s">
        <v>45</v>
      </c>
      <c r="F55" s="43">
        <v>777.2</v>
      </c>
      <c r="G55" s="42" t="s">
        <v>48</v>
      </c>
      <c r="H55" s="42" t="s">
        <v>64</v>
      </c>
      <c r="I55" s="42" t="s">
        <v>49</v>
      </c>
      <c r="J55" s="44">
        <v>43507</v>
      </c>
    </row>
    <row r="56" spans="2:10" ht="30" customHeight="1" x14ac:dyDescent="0.35">
      <c r="B56" s="39">
        <v>99</v>
      </c>
      <c r="C56" s="40">
        <v>43507</v>
      </c>
      <c r="D56" s="41" t="s">
        <v>51</v>
      </c>
      <c r="E56" s="42" t="s">
        <v>45</v>
      </c>
      <c r="F56" s="43">
        <v>120</v>
      </c>
      <c r="G56" s="93" t="s">
        <v>69</v>
      </c>
      <c r="H56" s="42" t="s">
        <v>55</v>
      </c>
      <c r="I56" s="42" t="s">
        <v>53</v>
      </c>
      <c r="J56" s="44">
        <v>43507</v>
      </c>
    </row>
    <row r="57" spans="2:10" ht="30" customHeight="1" x14ac:dyDescent="0.35">
      <c r="B57" s="39">
        <v>99</v>
      </c>
      <c r="C57" s="40">
        <v>43507</v>
      </c>
      <c r="D57" s="41" t="s">
        <v>51</v>
      </c>
      <c r="E57" s="42" t="s">
        <v>45</v>
      </c>
      <c r="F57" s="43">
        <v>228.8</v>
      </c>
      <c r="G57" s="42" t="s">
        <v>70</v>
      </c>
      <c r="H57" s="42" t="s">
        <v>52</v>
      </c>
      <c r="I57" s="42" t="s">
        <v>53</v>
      </c>
      <c r="J57" s="44">
        <v>43507</v>
      </c>
    </row>
    <row r="58" spans="2:10" ht="30" customHeight="1" x14ac:dyDescent="0.35">
      <c r="B58" s="39">
        <v>64</v>
      </c>
      <c r="C58" s="40">
        <v>43508</v>
      </c>
      <c r="D58" s="41">
        <v>5286</v>
      </c>
      <c r="E58" s="42" t="s">
        <v>45</v>
      </c>
      <c r="F58" s="43">
        <v>1450</v>
      </c>
      <c r="G58" s="42" t="s">
        <v>48</v>
      </c>
      <c r="H58" s="42" t="s">
        <v>64</v>
      </c>
      <c r="I58" s="42" t="s">
        <v>49</v>
      </c>
      <c r="J58" s="44">
        <v>43508</v>
      </c>
    </row>
    <row r="59" spans="2:10" ht="30" customHeight="1" x14ac:dyDescent="0.35">
      <c r="B59" s="39">
        <v>99</v>
      </c>
      <c r="C59" s="40">
        <v>43508</v>
      </c>
      <c r="D59" s="41" t="s">
        <v>51</v>
      </c>
      <c r="E59" s="42" t="s">
        <v>45</v>
      </c>
      <c r="F59" s="43">
        <f>1020.03+1347.6+75</f>
        <v>2442.63</v>
      </c>
      <c r="G59" s="63" t="s">
        <v>70</v>
      </c>
      <c r="H59" s="42" t="s">
        <v>52</v>
      </c>
      <c r="I59" s="42" t="s">
        <v>53</v>
      </c>
      <c r="J59" s="44">
        <v>43508</v>
      </c>
    </row>
    <row r="60" spans="2:10" ht="30" customHeight="1" x14ac:dyDescent="0.35">
      <c r="B60" s="39">
        <v>64</v>
      </c>
      <c r="C60" s="40">
        <v>43509</v>
      </c>
      <c r="D60" s="41">
        <v>5325</v>
      </c>
      <c r="E60" s="42" t="s">
        <v>45</v>
      </c>
      <c r="F60" s="43">
        <v>1073</v>
      </c>
      <c r="G60" s="42" t="s">
        <v>48</v>
      </c>
      <c r="H60" s="42" t="s">
        <v>64</v>
      </c>
      <c r="I60" s="42" t="s">
        <v>49</v>
      </c>
      <c r="J60" s="44">
        <v>43509</v>
      </c>
    </row>
    <row r="61" spans="2:10" ht="30" customHeight="1" x14ac:dyDescent="0.35">
      <c r="B61" s="39">
        <v>99</v>
      </c>
      <c r="C61" s="40">
        <v>43509</v>
      </c>
      <c r="D61" s="41" t="s">
        <v>51</v>
      </c>
      <c r="E61" s="42" t="s">
        <v>45</v>
      </c>
      <c r="F61" s="43">
        <v>1115.96</v>
      </c>
      <c r="G61" s="42" t="s">
        <v>70</v>
      </c>
      <c r="H61" s="42" t="s">
        <v>52</v>
      </c>
      <c r="I61" s="42" t="s">
        <v>53</v>
      </c>
      <c r="J61" s="44">
        <v>43509</v>
      </c>
    </row>
    <row r="62" spans="2:10" ht="30" customHeight="1" x14ac:dyDescent="0.35">
      <c r="B62" s="39">
        <v>64</v>
      </c>
      <c r="C62" s="40">
        <v>43510</v>
      </c>
      <c r="D62" s="41">
        <v>5362</v>
      </c>
      <c r="E62" s="42" t="s">
        <v>45</v>
      </c>
      <c r="F62" s="43">
        <v>446.6</v>
      </c>
      <c r="G62" s="42" t="s">
        <v>48</v>
      </c>
      <c r="H62" s="42" t="s">
        <v>64</v>
      </c>
      <c r="I62" s="42" t="s">
        <v>49</v>
      </c>
      <c r="J62" s="44">
        <v>43510</v>
      </c>
    </row>
    <row r="63" spans="2:10" ht="30" customHeight="1" x14ac:dyDescent="0.35">
      <c r="B63" s="39">
        <v>99</v>
      </c>
      <c r="C63" s="40">
        <v>43510</v>
      </c>
      <c r="D63" s="41" t="s">
        <v>51</v>
      </c>
      <c r="E63" s="42" t="s">
        <v>45</v>
      </c>
      <c r="F63" s="43">
        <v>9448.2000000000007</v>
      </c>
      <c r="G63" s="42" t="s">
        <v>72</v>
      </c>
      <c r="H63" s="73" t="s">
        <v>80</v>
      </c>
      <c r="I63" s="42" t="s">
        <v>49</v>
      </c>
      <c r="J63" s="44">
        <v>43504</v>
      </c>
    </row>
    <row r="64" spans="2:10" ht="30" customHeight="1" x14ac:dyDescent="0.35">
      <c r="B64" s="39">
        <v>64</v>
      </c>
      <c r="C64" s="40">
        <v>43511</v>
      </c>
      <c r="D64" s="41">
        <v>5380</v>
      </c>
      <c r="E64" s="42" t="s">
        <v>45</v>
      </c>
      <c r="F64" s="43">
        <v>282</v>
      </c>
      <c r="G64" s="42" t="s">
        <v>48</v>
      </c>
      <c r="H64" s="42" t="s">
        <v>64</v>
      </c>
      <c r="I64" s="42" t="s">
        <v>49</v>
      </c>
      <c r="J64" s="44">
        <v>43511</v>
      </c>
    </row>
    <row r="65" spans="2:10" ht="30" customHeight="1" x14ac:dyDescent="0.35">
      <c r="B65" s="39">
        <v>61</v>
      </c>
      <c r="C65" s="40">
        <v>43514</v>
      </c>
      <c r="D65" s="41" t="s">
        <v>51</v>
      </c>
      <c r="E65" s="42" t="s">
        <v>45</v>
      </c>
      <c r="F65" s="43">
        <v>500</v>
      </c>
      <c r="G65" s="42" t="s">
        <v>65</v>
      </c>
      <c r="H65" s="42" t="s">
        <v>54</v>
      </c>
      <c r="I65" s="42" t="s">
        <v>53</v>
      </c>
      <c r="J65" s="44">
        <v>43514</v>
      </c>
    </row>
    <row r="66" spans="2:10" ht="30" customHeight="1" x14ac:dyDescent="0.35">
      <c r="B66" s="39">
        <v>99</v>
      </c>
      <c r="C66" s="40">
        <v>43514</v>
      </c>
      <c r="D66" s="41" t="s">
        <v>51</v>
      </c>
      <c r="E66" s="42" t="s">
        <v>45</v>
      </c>
      <c r="F66" s="43">
        <v>125</v>
      </c>
      <c r="G66" s="93" t="s">
        <v>69</v>
      </c>
      <c r="H66" s="42" t="s">
        <v>55</v>
      </c>
      <c r="I66" s="42" t="s">
        <v>53</v>
      </c>
      <c r="J66" s="44">
        <v>43514</v>
      </c>
    </row>
    <row r="67" spans="2:10" ht="30" customHeight="1" x14ac:dyDescent="0.35">
      <c r="B67" s="39">
        <v>61</v>
      </c>
      <c r="C67" s="40">
        <v>43515</v>
      </c>
      <c r="D67" s="41" t="s">
        <v>51</v>
      </c>
      <c r="E67" s="42" t="s">
        <v>45</v>
      </c>
      <c r="F67" s="43">
        <v>1358</v>
      </c>
      <c r="G67" s="56" t="s">
        <v>71</v>
      </c>
      <c r="H67" s="42" t="s">
        <v>67</v>
      </c>
      <c r="I67" s="42" t="s">
        <v>53</v>
      </c>
      <c r="J67" s="44">
        <v>43515</v>
      </c>
    </row>
    <row r="68" spans="2:10" ht="30" customHeight="1" x14ac:dyDescent="0.35">
      <c r="B68" s="39">
        <v>61</v>
      </c>
      <c r="C68" s="40">
        <v>43515</v>
      </c>
      <c r="D68" s="41" t="s">
        <v>51</v>
      </c>
      <c r="E68" s="42" t="s">
        <v>45</v>
      </c>
      <c r="F68" s="43">
        <v>723</v>
      </c>
      <c r="G68" s="63" t="s">
        <v>48</v>
      </c>
      <c r="H68" s="42" t="s">
        <v>66</v>
      </c>
      <c r="I68" s="42" t="s">
        <v>53</v>
      </c>
      <c r="J68" s="44">
        <v>43515</v>
      </c>
    </row>
    <row r="69" spans="2:10" ht="30" customHeight="1" x14ac:dyDescent="0.35">
      <c r="B69" s="39">
        <v>64</v>
      </c>
      <c r="C69" s="40">
        <v>43515</v>
      </c>
      <c r="D69" s="41">
        <v>5452</v>
      </c>
      <c r="E69" s="42" t="s">
        <v>45</v>
      </c>
      <c r="F69" s="43">
        <v>1177.4000000000001</v>
      </c>
      <c r="G69" s="63" t="s">
        <v>48</v>
      </c>
      <c r="H69" s="42" t="s">
        <v>64</v>
      </c>
      <c r="I69" s="42" t="s">
        <v>49</v>
      </c>
      <c r="J69" s="44">
        <v>43515</v>
      </c>
    </row>
    <row r="70" spans="2:10" ht="30" customHeight="1" x14ac:dyDescent="0.35">
      <c r="B70" s="39">
        <v>99</v>
      </c>
      <c r="C70" s="40">
        <v>43515</v>
      </c>
      <c r="D70" s="41" t="s">
        <v>51</v>
      </c>
      <c r="E70" s="42" t="s">
        <v>45</v>
      </c>
      <c r="F70" s="43">
        <f>930.02+1968.9+892.9+272.6+9+680.02+40</f>
        <v>4793.4400000000005</v>
      </c>
      <c r="G70" s="42" t="s">
        <v>70</v>
      </c>
      <c r="H70" s="42" t="s">
        <v>52</v>
      </c>
      <c r="I70" s="42" t="s">
        <v>53</v>
      </c>
      <c r="J70" s="44">
        <v>43515</v>
      </c>
    </row>
    <row r="71" spans="2:10" ht="30" customHeight="1" x14ac:dyDescent="0.35">
      <c r="B71" s="39">
        <v>64</v>
      </c>
      <c r="C71" s="40">
        <v>43517</v>
      </c>
      <c r="D71" s="41">
        <v>5524</v>
      </c>
      <c r="E71" s="42" t="s">
        <v>45</v>
      </c>
      <c r="F71" s="43">
        <v>783</v>
      </c>
      <c r="G71" s="42" t="s">
        <v>48</v>
      </c>
      <c r="H71" s="42" t="s">
        <v>64</v>
      </c>
      <c r="I71" s="42" t="s">
        <v>49</v>
      </c>
      <c r="J71" s="44">
        <v>43517</v>
      </c>
    </row>
    <row r="72" spans="2:10" ht="30" customHeight="1" x14ac:dyDescent="0.35">
      <c r="B72" s="39">
        <v>61</v>
      </c>
      <c r="C72" s="40">
        <v>43521</v>
      </c>
      <c r="D72" s="41" t="s">
        <v>51</v>
      </c>
      <c r="E72" s="42" t="s">
        <v>45</v>
      </c>
      <c r="F72" s="43">
        <v>80</v>
      </c>
      <c r="G72" s="63" t="s">
        <v>65</v>
      </c>
      <c r="H72" s="42" t="s">
        <v>54</v>
      </c>
      <c r="I72" s="42" t="s">
        <v>53</v>
      </c>
      <c r="J72" s="44">
        <v>43521</v>
      </c>
    </row>
    <row r="73" spans="2:10" ht="30" customHeight="1" x14ac:dyDescent="0.35">
      <c r="B73" s="39">
        <v>99</v>
      </c>
      <c r="C73" s="40">
        <v>43521</v>
      </c>
      <c r="D73" s="41" t="s">
        <v>51</v>
      </c>
      <c r="E73" s="42" t="s">
        <v>45</v>
      </c>
      <c r="F73" s="43">
        <v>8760</v>
      </c>
      <c r="G73" s="63" t="s">
        <v>70</v>
      </c>
      <c r="H73" s="42" t="s">
        <v>52</v>
      </c>
      <c r="I73" s="42" t="s">
        <v>49</v>
      </c>
      <c r="J73" s="44">
        <v>43521</v>
      </c>
    </row>
    <row r="74" spans="2:10" ht="30" customHeight="1" x14ac:dyDescent="0.35">
      <c r="B74" s="39">
        <v>99</v>
      </c>
      <c r="C74" s="40">
        <v>43521</v>
      </c>
      <c r="D74" s="41" t="s">
        <v>51</v>
      </c>
      <c r="E74" s="42" t="s">
        <v>45</v>
      </c>
      <c r="F74" s="43">
        <v>120</v>
      </c>
      <c r="G74" s="93" t="s">
        <v>69</v>
      </c>
      <c r="H74" s="42" t="s">
        <v>55</v>
      </c>
      <c r="I74" s="42" t="s">
        <v>53</v>
      </c>
      <c r="J74" s="44">
        <v>43521</v>
      </c>
    </row>
    <row r="75" spans="2:10" ht="30" customHeight="1" x14ac:dyDescent="0.35">
      <c r="B75" s="39">
        <v>99</v>
      </c>
      <c r="C75" s="40">
        <v>43521</v>
      </c>
      <c r="D75" s="41" t="s">
        <v>51</v>
      </c>
      <c r="E75" s="42" t="s">
        <v>45</v>
      </c>
      <c r="F75" s="43">
        <v>7882.2</v>
      </c>
      <c r="G75" s="42" t="s">
        <v>72</v>
      </c>
      <c r="H75" s="73" t="s">
        <v>81</v>
      </c>
      <c r="I75" s="42" t="s">
        <v>49</v>
      </c>
      <c r="J75" s="44">
        <v>43521</v>
      </c>
    </row>
    <row r="76" spans="2:10" ht="30" customHeight="1" x14ac:dyDescent="0.35">
      <c r="B76" s="39">
        <v>99</v>
      </c>
      <c r="C76" s="40">
        <v>43522</v>
      </c>
      <c r="D76" s="41" t="s">
        <v>51</v>
      </c>
      <c r="E76" s="42" t="s">
        <v>45</v>
      </c>
      <c r="F76" s="43">
        <v>1140</v>
      </c>
      <c r="G76" s="42" t="s">
        <v>70</v>
      </c>
      <c r="H76" s="42" t="s">
        <v>52</v>
      </c>
      <c r="I76" s="42" t="s">
        <v>53</v>
      </c>
      <c r="J76" s="44">
        <v>43522</v>
      </c>
    </row>
    <row r="77" spans="2:10" ht="30" customHeight="1" x14ac:dyDescent="0.35">
      <c r="B77" s="39">
        <v>64</v>
      </c>
      <c r="C77" s="40">
        <v>43523</v>
      </c>
      <c r="D77" s="41">
        <v>5644</v>
      </c>
      <c r="E77" s="42" t="s">
        <v>45</v>
      </c>
      <c r="F77" s="43">
        <v>580</v>
      </c>
      <c r="G77" s="42" t="s">
        <v>48</v>
      </c>
      <c r="H77" s="42" t="s">
        <v>64</v>
      </c>
      <c r="I77" s="42" t="s">
        <v>49</v>
      </c>
      <c r="J77" s="44">
        <v>43523</v>
      </c>
    </row>
    <row r="78" spans="2:10" ht="30" customHeight="1" x14ac:dyDescent="0.35">
      <c r="B78" s="54">
        <v>2</v>
      </c>
      <c r="C78" s="40">
        <v>43524</v>
      </c>
      <c r="D78" s="55" t="s">
        <v>51</v>
      </c>
      <c r="E78" s="56" t="s">
        <v>45</v>
      </c>
      <c r="F78" s="57">
        <v>20000</v>
      </c>
      <c r="G78" s="65" t="s">
        <v>62</v>
      </c>
      <c r="H78" s="65" t="s">
        <v>98</v>
      </c>
      <c r="I78" s="56" t="s">
        <v>49</v>
      </c>
      <c r="J78" s="44">
        <v>43524</v>
      </c>
    </row>
    <row r="79" spans="2:10" ht="30" customHeight="1" x14ac:dyDescent="0.35">
      <c r="B79" s="39">
        <v>61</v>
      </c>
      <c r="C79" s="40">
        <v>43525</v>
      </c>
      <c r="D79" s="41" t="s">
        <v>51</v>
      </c>
      <c r="E79" s="42" t="s">
        <v>45</v>
      </c>
      <c r="F79" s="43">
        <v>71.28</v>
      </c>
      <c r="G79" s="42" t="s">
        <v>65</v>
      </c>
      <c r="H79" s="42" t="s">
        <v>54</v>
      </c>
      <c r="I79" s="42" t="s">
        <v>53</v>
      </c>
      <c r="J79" s="44">
        <v>43525</v>
      </c>
    </row>
    <row r="80" spans="2:10" ht="30" customHeight="1" x14ac:dyDescent="0.35">
      <c r="B80" s="39">
        <v>64</v>
      </c>
      <c r="C80" s="40">
        <v>43525</v>
      </c>
      <c r="D80" s="41" t="s">
        <v>51</v>
      </c>
      <c r="E80" s="42" t="s">
        <v>45</v>
      </c>
      <c r="F80" s="43">
        <f>305+1995+5</f>
        <v>2305</v>
      </c>
      <c r="G80" s="42" t="s">
        <v>48</v>
      </c>
      <c r="H80" s="42" t="s">
        <v>64</v>
      </c>
      <c r="I80" s="42" t="s">
        <v>53</v>
      </c>
      <c r="J80" s="44">
        <v>43525</v>
      </c>
    </row>
    <row r="81" spans="2:10" ht="30" customHeight="1" x14ac:dyDescent="0.35">
      <c r="B81" s="39">
        <v>99</v>
      </c>
      <c r="C81" s="40">
        <v>43525</v>
      </c>
      <c r="D81" s="41" t="s">
        <v>51</v>
      </c>
      <c r="E81" s="42" t="s">
        <v>45</v>
      </c>
      <c r="F81" s="43">
        <v>401.95</v>
      </c>
      <c r="G81" s="42" t="s">
        <v>70</v>
      </c>
      <c r="H81" s="42" t="s">
        <v>52</v>
      </c>
      <c r="I81" s="42" t="s">
        <v>53</v>
      </c>
      <c r="J81" s="44">
        <v>43525</v>
      </c>
    </row>
    <row r="82" spans="2:10" ht="30" customHeight="1" x14ac:dyDescent="0.35">
      <c r="B82" s="39">
        <v>99</v>
      </c>
      <c r="C82" s="40">
        <v>43525</v>
      </c>
      <c r="D82" s="41" t="s">
        <v>51</v>
      </c>
      <c r="E82" s="42" t="s">
        <v>45</v>
      </c>
      <c r="F82" s="43">
        <v>8247.6</v>
      </c>
      <c r="G82" s="42" t="s">
        <v>72</v>
      </c>
      <c r="H82" s="73" t="s">
        <v>82</v>
      </c>
      <c r="I82" s="42" t="s">
        <v>49</v>
      </c>
      <c r="J82" s="44">
        <v>43525</v>
      </c>
    </row>
    <row r="83" spans="2:10" ht="30" customHeight="1" x14ac:dyDescent="0.35">
      <c r="B83" s="39">
        <v>61</v>
      </c>
      <c r="C83" s="40">
        <v>43528</v>
      </c>
      <c r="D83" s="41" t="s">
        <v>58</v>
      </c>
      <c r="E83" s="42" t="s">
        <v>45</v>
      </c>
      <c r="F83" s="43">
        <v>5641</v>
      </c>
      <c r="G83" s="42" t="s">
        <v>65</v>
      </c>
      <c r="H83" s="42" t="s">
        <v>63</v>
      </c>
      <c r="I83" s="42" t="s">
        <v>49</v>
      </c>
      <c r="J83" s="44">
        <v>43528</v>
      </c>
    </row>
    <row r="84" spans="2:10" ht="30" customHeight="1" x14ac:dyDescent="0.35">
      <c r="B84" s="39">
        <v>99</v>
      </c>
      <c r="C84" s="40">
        <v>43528</v>
      </c>
      <c r="D84" s="41" t="s">
        <v>51</v>
      </c>
      <c r="E84" s="42" t="s">
        <v>45</v>
      </c>
      <c r="F84" s="43">
        <v>120</v>
      </c>
      <c r="G84" s="93" t="s">
        <v>69</v>
      </c>
      <c r="H84" s="42" t="s">
        <v>55</v>
      </c>
      <c r="I84" s="42" t="s">
        <v>53</v>
      </c>
      <c r="J84" s="44">
        <v>43528</v>
      </c>
    </row>
    <row r="85" spans="2:10" ht="30" customHeight="1" x14ac:dyDescent="0.35">
      <c r="B85" s="39">
        <v>99</v>
      </c>
      <c r="C85" s="40">
        <v>43529</v>
      </c>
      <c r="D85" s="41" t="s">
        <v>51</v>
      </c>
      <c r="E85" s="42" t="s">
        <v>45</v>
      </c>
      <c r="F85" s="43">
        <f>1140+1038.3+1509.6+1845.3+10</f>
        <v>5543.2</v>
      </c>
      <c r="G85" s="42" t="s">
        <v>70</v>
      </c>
      <c r="H85" s="42" t="s">
        <v>52</v>
      </c>
      <c r="I85" s="42" t="s">
        <v>53</v>
      </c>
      <c r="J85" s="44">
        <v>43529</v>
      </c>
    </row>
    <row r="86" spans="2:10" ht="30" customHeight="1" x14ac:dyDescent="0.35">
      <c r="B86" s="39">
        <v>99</v>
      </c>
      <c r="C86" s="40">
        <v>43532</v>
      </c>
      <c r="D86" s="41" t="s">
        <v>51</v>
      </c>
      <c r="E86" s="42" t="s">
        <v>45</v>
      </c>
      <c r="F86" s="43">
        <v>7725.6</v>
      </c>
      <c r="G86" s="42" t="s">
        <v>72</v>
      </c>
      <c r="H86" s="73" t="s">
        <v>83</v>
      </c>
      <c r="I86" s="42" t="s">
        <v>49</v>
      </c>
      <c r="J86" s="44">
        <v>43532</v>
      </c>
    </row>
    <row r="87" spans="2:10" ht="30" customHeight="1" x14ac:dyDescent="0.35">
      <c r="B87" s="39">
        <v>99</v>
      </c>
      <c r="C87" s="40">
        <v>43535</v>
      </c>
      <c r="D87" s="41" t="s">
        <v>51</v>
      </c>
      <c r="E87" s="42" t="s">
        <v>45</v>
      </c>
      <c r="F87" s="43">
        <v>120</v>
      </c>
      <c r="G87" s="93" t="s">
        <v>69</v>
      </c>
      <c r="H87" s="42" t="s">
        <v>55</v>
      </c>
      <c r="I87" s="42" t="s">
        <v>53</v>
      </c>
      <c r="J87" s="40">
        <v>43535</v>
      </c>
    </row>
    <row r="88" spans="2:10" ht="30" customHeight="1" x14ac:dyDescent="0.35">
      <c r="B88" s="39">
        <v>61</v>
      </c>
      <c r="C88" s="40">
        <v>43537</v>
      </c>
      <c r="D88" s="41" t="s">
        <v>51</v>
      </c>
      <c r="E88" s="42" t="s">
        <v>45</v>
      </c>
      <c r="F88" s="43">
        <v>1000</v>
      </c>
      <c r="G88" s="42" t="s">
        <v>65</v>
      </c>
      <c r="H88" s="42" t="s">
        <v>54</v>
      </c>
      <c r="I88" s="42" t="s">
        <v>53</v>
      </c>
      <c r="J88" s="44">
        <v>43537</v>
      </c>
    </row>
    <row r="89" spans="2:10" ht="30" customHeight="1" x14ac:dyDescent="0.35">
      <c r="B89" s="39">
        <v>61</v>
      </c>
      <c r="C89" s="40">
        <v>43537</v>
      </c>
      <c r="D89" s="41" t="s">
        <v>51</v>
      </c>
      <c r="E89" s="42" t="s">
        <v>45</v>
      </c>
      <c r="F89" s="43">
        <v>500</v>
      </c>
      <c r="G89" s="42" t="s">
        <v>65</v>
      </c>
      <c r="H89" s="42" t="s">
        <v>68</v>
      </c>
      <c r="I89" s="42" t="s">
        <v>53</v>
      </c>
      <c r="J89" s="44">
        <v>43537</v>
      </c>
    </row>
    <row r="90" spans="2:10" ht="30" customHeight="1" x14ac:dyDescent="0.35">
      <c r="B90" s="39">
        <v>99</v>
      </c>
      <c r="C90" s="40">
        <v>43537</v>
      </c>
      <c r="D90" s="41" t="s">
        <v>51</v>
      </c>
      <c r="E90" s="42" t="s">
        <v>45</v>
      </c>
      <c r="F90" s="43">
        <f>667.15+280.6+635+631.3+504.15</f>
        <v>2718.2000000000003</v>
      </c>
      <c r="G90" s="63" t="s">
        <v>70</v>
      </c>
      <c r="H90" s="42" t="s">
        <v>52</v>
      </c>
      <c r="I90" s="42" t="s">
        <v>53</v>
      </c>
      <c r="J90" s="44">
        <v>43537</v>
      </c>
    </row>
    <row r="91" spans="2:10" ht="30" customHeight="1" x14ac:dyDescent="0.35">
      <c r="B91" s="39">
        <v>99</v>
      </c>
      <c r="C91" s="40">
        <v>43537</v>
      </c>
      <c r="D91" s="41" t="s">
        <v>51</v>
      </c>
      <c r="E91" s="42" t="s">
        <v>45</v>
      </c>
      <c r="F91" s="43">
        <f>667.15+5+100+401.59+351.59+958.2</f>
        <v>2483.5299999999997</v>
      </c>
      <c r="G91" s="42" t="s">
        <v>70</v>
      </c>
      <c r="H91" s="42" t="s">
        <v>52</v>
      </c>
      <c r="I91" s="42" t="s">
        <v>53</v>
      </c>
      <c r="J91" s="44">
        <v>43537</v>
      </c>
    </row>
    <row r="92" spans="2:10" ht="30" customHeight="1" x14ac:dyDescent="0.35">
      <c r="B92" s="39">
        <v>99</v>
      </c>
      <c r="C92" s="40">
        <v>43537</v>
      </c>
      <c r="D92" s="41" t="s">
        <v>51</v>
      </c>
      <c r="E92" s="42" t="s">
        <v>45</v>
      </c>
      <c r="F92" s="43">
        <f>389.99+339.99</f>
        <v>729.98</v>
      </c>
      <c r="G92" s="63" t="s">
        <v>70</v>
      </c>
      <c r="H92" s="42" t="s">
        <v>52</v>
      </c>
      <c r="I92" s="42" t="s">
        <v>53</v>
      </c>
      <c r="J92" s="44">
        <v>43537</v>
      </c>
    </row>
    <row r="93" spans="2:10" ht="30" customHeight="1" x14ac:dyDescent="0.35">
      <c r="B93" s="39">
        <v>99</v>
      </c>
      <c r="C93" s="40">
        <v>43538</v>
      </c>
      <c r="D93" s="41" t="s">
        <v>51</v>
      </c>
      <c r="E93" s="42" t="s">
        <v>45</v>
      </c>
      <c r="F93" s="43">
        <f>280.6+504.15</f>
        <v>784.75</v>
      </c>
      <c r="G93" s="63" t="s">
        <v>70</v>
      </c>
      <c r="H93" s="42" t="s">
        <v>52</v>
      </c>
      <c r="I93" s="42" t="s">
        <v>53</v>
      </c>
      <c r="J93" s="44">
        <v>43538</v>
      </c>
    </row>
    <row r="94" spans="2:10" ht="30" customHeight="1" x14ac:dyDescent="0.35">
      <c r="B94" s="39">
        <v>61</v>
      </c>
      <c r="C94" s="40">
        <v>43539</v>
      </c>
      <c r="D94" s="41" t="s">
        <v>51</v>
      </c>
      <c r="E94" s="42" t="s">
        <v>45</v>
      </c>
      <c r="F94" s="43">
        <v>50</v>
      </c>
      <c r="G94" s="42" t="s">
        <v>70</v>
      </c>
      <c r="H94" s="42" t="s">
        <v>52</v>
      </c>
      <c r="I94" s="42" t="s">
        <v>53</v>
      </c>
      <c r="J94" s="44">
        <v>43539</v>
      </c>
    </row>
    <row r="95" spans="2:10" ht="30" customHeight="1" x14ac:dyDescent="0.35">
      <c r="B95" s="39">
        <v>64</v>
      </c>
      <c r="C95" s="40">
        <v>43539</v>
      </c>
      <c r="D95" s="41">
        <v>5892</v>
      </c>
      <c r="E95" s="42" t="s">
        <v>45</v>
      </c>
      <c r="F95" s="43">
        <v>452.4</v>
      </c>
      <c r="G95" s="63" t="s">
        <v>48</v>
      </c>
      <c r="H95" s="42" t="s">
        <v>64</v>
      </c>
      <c r="I95" s="42" t="s">
        <v>49</v>
      </c>
      <c r="J95" s="44">
        <v>43539</v>
      </c>
    </row>
    <row r="96" spans="2:10" ht="30" customHeight="1" x14ac:dyDescent="0.35">
      <c r="B96" s="39">
        <v>99</v>
      </c>
      <c r="C96" s="40">
        <v>43539</v>
      </c>
      <c r="D96" s="41">
        <v>71</v>
      </c>
      <c r="E96" s="42" t="s">
        <v>45</v>
      </c>
      <c r="F96" s="43">
        <v>7464.6</v>
      </c>
      <c r="G96" s="42" t="s">
        <v>72</v>
      </c>
      <c r="H96" s="73" t="s">
        <v>84</v>
      </c>
      <c r="I96" s="42" t="s">
        <v>49</v>
      </c>
      <c r="J96" s="44">
        <v>43539</v>
      </c>
    </row>
    <row r="97" spans="2:10" ht="30" customHeight="1" x14ac:dyDescent="0.35">
      <c r="B97" s="39">
        <v>61</v>
      </c>
      <c r="C97" s="40">
        <v>43543</v>
      </c>
      <c r="D97" s="41" t="s">
        <v>51</v>
      </c>
      <c r="E97" s="42" t="s">
        <v>45</v>
      </c>
      <c r="F97" s="43">
        <v>245</v>
      </c>
      <c r="G97" s="63" t="s">
        <v>48</v>
      </c>
      <c r="H97" s="42" t="s">
        <v>66</v>
      </c>
      <c r="I97" s="42" t="s">
        <v>53</v>
      </c>
      <c r="J97" s="44">
        <v>43543</v>
      </c>
    </row>
    <row r="98" spans="2:10" ht="30" customHeight="1" x14ac:dyDescent="0.35">
      <c r="B98" s="39">
        <v>61</v>
      </c>
      <c r="C98" s="40">
        <v>43543</v>
      </c>
      <c r="D98" s="41" t="s">
        <v>51</v>
      </c>
      <c r="E98" s="42" t="s">
        <v>45</v>
      </c>
      <c r="F98" s="43">
        <v>311.48</v>
      </c>
      <c r="G98" s="42" t="s">
        <v>48</v>
      </c>
      <c r="H98" s="42" t="s">
        <v>59</v>
      </c>
      <c r="I98" s="42" t="s">
        <v>53</v>
      </c>
      <c r="J98" s="44">
        <v>43543</v>
      </c>
    </row>
    <row r="99" spans="2:10" ht="30" customHeight="1" x14ac:dyDescent="0.35">
      <c r="B99" s="39">
        <v>99</v>
      </c>
      <c r="C99" s="40">
        <v>43543</v>
      </c>
      <c r="D99" s="41" t="s">
        <v>51</v>
      </c>
      <c r="E99" s="42" t="s">
        <v>45</v>
      </c>
      <c r="F99" s="43">
        <v>120</v>
      </c>
      <c r="G99" s="93" t="s">
        <v>69</v>
      </c>
      <c r="H99" s="42" t="s">
        <v>55</v>
      </c>
      <c r="I99" s="42" t="s">
        <v>53</v>
      </c>
      <c r="J99" s="40">
        <v>43543</v>
      </c>
    </row>
    <row r="100" spans="2:10" ht="30" customHeight="1" x14ac:dyDescent="0.35">
      <c r="B100" s="39">
        <v>99</v>
      </c>
      <c r="C100" s="40">
        <v>43544</v>
      </c>
      <c r="D100" s="41" t="s">
        <v>51</v>
      </c>
      <c r="E100" s="42" t="s">
        <v>45</v>
      </c>
      <c r="F100" s="43">
        <v>6240</v>
      </c>
      <c r="G100" s="42" t="s">
        <v>70</v>
      </c>
      <c r="H100" s="42" t="s">
        <v>52</v>
      </c>
      <c r="I100" s="42" t="s">
        <v>49</v>
      </c>
      <c r="J100" s="44">
        <v>43544</v>
      </c>
    </row>
    <row r="101" spans="2:10" ht="30" customHeight="1" x14ac:dyDescent="0.35">
      <c r="B101" s="39">
        <v>99</v>
      </c>
      <c r="C101" s="40">
        <v>43544</v>
      </c>
      <c r="D101" s="41" t="s">
        <v>51</v>
      </c>
      <c r="E101" s="42" t="s">
        <v>45</v>
      </c>
      <c r="F101" s="43">
        <v>1543.65</v>
      </c>
      <c r="G101" s="63" t="s">
        <v>70</v>
      </c>
      <c r="H101" s="42" t="s">
        <v>52</v>
      </c>
      <c r="I101" s="42" t="s">
        <v>53</v>
      </c>
      <c r="J101" s="44">
        <v>43547</v>
      </c>
    </row>
    <row r="102" spans="2:10" ht="30" customHeight="1" x14ac:dyDescent="0.35">
      <c r="B102" s="39">
        <v>64</v>
      </c>
      <c r="C102" s="40">
        <v>43545</v>
      </c>
      <c r="D102" s="41">
        <v>6048</v>
      </c>
      <c r="E102" s="42" t="s">
        <v>45</v>
      </c>
      <c r="F102" s="43">
        <v>751.68</v>
      </c>
      <c r="G102" s="63" t="s">
        <v>48</v>
      </c>
      <c r="H102" s="42" t="s">
        <v>64</v>
      </c>
      <c r="I102" s="42" t="s">
        <v>49</v>
      </c>
      <c r="J102" s="44">
        <v>43545</v>
      </c>
    </row>
    <row r="103" spans="2:10" ht="30" customHeight="1" x14ac:dyDescent="0.35">
      <c r="B103" s="39">
        <v>61</v>
      </c>
      <c r="C103" s="40">
        <v>43546</v>
      </c>
      <c r="D103" s="41" t="s">
        <v>51</v>
      </c>
      <c r="E103" s="42" t="s">
        <v>45</v>
      </c>
      <c r="F103" s="43">
        <v>50</v>
      </c>
      <c r="G103" s="42" t="s">
        <v>65</v>
      </c>
      <c r="H103" s="42" t="s">
        <v>54</v>
      </c>
      <c r="I103" s="42" t="s">
        <v>53</v>
      </c>
      <c r="J103" s="44">
        <v>43546</v>
      </c>
    </row>
    <row r="104" spans="2:10" ht="30" customHeight="1" x14ac:dyDescent="0.35">
      <c r="B104" s="39">
        <v>99</v>
      </c>
      <c r="C104" s="40">
        <v>43546</v>
      </c>
      <c r="D104" s="41" t="s">
        <v>51</v>
      </c>
      <c r="E104" s="42" t="s">
        <v>45</v>
      </c>
      <c r="F104" s="43">
        <f>631.3+635+1543.65</f>
        <v>2809.95</v>
      </c>
      <c r="G104" s="42" t="s">
        <v>70</v>
      </c>
      <c r="H104" s="42" t="s">
        <v>52</v>
      </c>
      <c r="I104" s="42" t="s">
        <v>53</v>
      </c>
      <c r="J104" s="44">
        <v>43546</v>
      </c>
    </row>
    <row r="105" spans="2:10" ht="30" customHeight="1" x14ac:dyDescent="0.35">
      <c r="B105" s="39">
        <v>99</v>
      </c>
      <c r="C105" s="40">
        <v>43546</v>
      </c>
      <c r="D105" s="41" t="s">
        <v>51</v>
      </c>
      <c r="E105" s="42" t="s">
        <v>45</v>
      </c>
      <c r="F105" s="43">
        <v>5481</v>
      </c>
      <c r="G105" s="42" t="s">
        <v>72</v>
      </c>
      <c r="H105" s="73" t="s">
        <v>85</v>
      </c>
      <c r="I105" s="42" t="s">
        <v>49</v>
      </c>
      <c r="J105" s="44">
        <v>43546</v>
      </c>
    </row>
    <row r="106" spans="2:10" ht="30" customHeight="1" x14ac:dyDescent="0.35">
      <c r="B106" s="39">
        <v>61</v>
      </c>
      <c r="C106" s="40">
        <v>43549</v>
      </c>
      <c r="D106" s="41" t="s">
        <v>51</v>
      </c>
      <c r="E106" s="42" t="s">
        <v>45</v>
      </c>
      <c r="F106" s="43">
        <v>2000</v>
      </c>
      <c r="G106" s="63" t="s">
        <v>48</v>
      </c>
      <c r="H106" s="42" t="s">
        <v>66</v>
      </c>
      <c r="I106" s="42" t="s">
        <v>53</v>
      </c>
      <c r="J106" s="44">
        <v>43549</v>
      </c>
    </row>
    <row r="107" spans="2:10" ht="30" customHeight="1" x14ac:dyDescent="0.35">
      <c r="B107" s="39">
        <v>99</v>
      </c>
      <c r="C107" s="40">
        <v>43549</v>
      </c>
      <c r="D107" s="41" t="s">
        <v>51</v>
      </c>
      <c r="E107" s="42" t="s">
        <v>45</v>
      </c>
      <c r="F107" s="43">
        <v>120</v>
      </c>
      <c r="G107" s="93" t="s">
        <v>69</v>
      </c>
      <c r="H107" s="42" t="s">
        <v>55</v>
      </c>
      <c r="I107" s="42" t="s">
        <v>53</v>
      </c>
      <c r="J107" s="44">
        <v>43549</v>
      </c>
    </row>
    <row r="108" spans="2:10" ht="30" customHeight="1" x14ac:dyDescent="0.35">
      <c r="B108" s="39">
        <v>99</v>
      </c>
      <c r="C108" s="40">
        <v>43549</v>
      </c>
      <c r="D108" s="41" t="s">
        <v>51</v>
      </c>
      <c r="E108" s="42" t="s">
        <v>45</v>
      </c>
      <c r="F108" s="43">
        <f>820.03+640+415.99+387.55+120+20+699.32+5+1019.95+5+1334.8+138+5+70+1864.8+27+120</f>
        <v>7692.4400000000005</v>
      </c>
      <c r="G108" s="63" t="s">
        <v>70</v>
      </c>
      <c r="H108" s="42" t="s">
        <v>52</v>
      </c>
      <c r="I108" s="42" t="s">
        <v>53</v>
      </c>
      <c r="J108" s="44">
        <v>43549</v>
      </c>
    </row>
    <row r="109" spans="2:10" ht="30" customHeight="1" x14ac:dyDescent="0.35">
      <c r="B109" s="39">
        <v>64</v>
      </c>
      <c r="C109" s="40">
        <v>43550</v>
      </c>
      <c r="D109" s="41">
        <v>6133</v>
      </c>
      <c r="E109" s="42" t="s">
        <v>45</v>
      </c>
      <c r="F109" s="43">
        <v>655.4</v>
      </c>
      <c r="G109" s="42" t="s">
        <v>48</v>
      </c>
      <c r="H109" s="42" t="s">
        <v>64</v>
      </c>
      <c r="I109" s="42" t="s">
        <v>49</v>
      </c>
      <c r="J109" s="44">
        <v>43611</v>
      </c>
    </row>
    <row r="110" spans="2:10" ht="30" customHeight="1" x14ac:dyDescent="0.35">
      <c r="B110" s="39">
        <v>99</v>
      </c>
      <c r="C110" s="40">
        <v>43550</v>
      </c>
      <c r="D110" s="41" t="s">
        <v>51</v>
      </c>
      <c r="E110" s="42" t="s">
        <v>45</v>
      </c>
      <c r="F110" s="43">
        <f>5+1529.62+700.1+500</f>
        <v>2734.72</v>
      </c>
      <c r="G110" s="42" t="s">
        <v>70</v>
      </c>
      <c r="H110" s="42" t="s">
        <v>52</v>
      </c>
      <c r="I110" s="42" t="s">
        <v>53</v>
      </c>
      <c r="J110" s="44">
        <v>43550</v>
      </c>
    </row>
    <row r="111" spans="2:10" ht="30" customHeight="1" x14ac:dyDescent="0.35">
      <c r="B111" s="39">
        <v>64</v>
      </c>
      <c r="C111" s="40">
        <v>43552</v>
      </c>
      <c r="D111" s="41" t="s">
        <v>51</v>
      </c>
      <c r="E111" s="42" t="s">
        <v>45</v>
      </c>
      <c r="F111" s="43">
        <v>301.60000000000002</v>
      </c>
      <c r="G111" s="63" t="s">
        <v>48</v>
      </c>
      <c r="H111" s="42" t="s">
        <v>64</v>
      </c>
      <c r="I111" s="42" t="s">
        <v>49</v>
      </c>
      <c r="J111" s="44">
        <v>43552</v>
      </c>
    </row>
    <row r="112" spans="2:10" ht="30" customHeight="1" x14ac:dyDescent="0.35">
      <c r="B112" s="39">
        <v>64</v>
      </c>
      <c r="C112" s="40">
        <v>43553</v>
      </c>
      <c r="D112" s="41" t="s">
        <v>51</v>
      </c>
      <c r="E112" s="42" t="s">
        <v>45</v>
      </c>
      <c r="F112" s="43">
        <v>10000</v>
      </c>
      <c r="G112" s="63" t="s">
        <v>48</v>
      </c>
      <c r="H112" s="42" t="s">
        <v>64</v>
      </c>
      <c r="I112" s="42" t="s">
        <v>39</v>
      </c>
      <c r="J112" s="44">
        <v>43553</v>
      </c>
    </row>
    <row r="113" spans="2:10" ht="30" customHeight="1" x14ac:dyDescent="0.35">
      <c r="B113" s="39">
        <v>64</v>
      </c>
      <c r="C113" s="40">
        <v>43553</v>
      </c>
      <c r="D113" s="41">
        <v>6230</v>
      </c>
      <c r="E113" s="42" t="s">
        <v>45</v>
      </c>
      <c r="F113" s="43">
        <v>1096.2</v>
      </c>
      <c r="G113" s="42" t="s">
        <v>48</v>
      </c>
      <c r="H113" s="42" t="s">
        <v>64</v>
      </c>
      <c r="I113" s="42" t="s">
        <v>49</v>
      </c>
      <c r="J113" s="44">
        <v>43553</v>
      </c>
    </row>
    <row r="114" spans="2:10" ht="30" customHeight="1" x14ac:dyDescent="0.35">
      <c r="B114" s="39">
        <v>99</v>
      </c>
      <c r="C114" s="40">
        <v>43553</v>
      </c>
      <c r="D114" s="41" t="s">
        <v>51</v>
      </c>
      <c r="E114" s="42" t="s">
        <v>45</v>
      </c>
      <c r="F114" s="43">
        <v>7516.8</v>
      </c>
      <c r="G114" s="42" t="s">
        <v>72</v>
      </c>
      <c r="H114" s="73" t="s">
        <v>86</v>
      </c>
      <c r="I114" s="42" t="s">
        <v>49</v>
      </c>
      <c r="J114" s="44">
        <v>43553</v>
      </c>
    </row>
    <row r="115" spans="2:10" ht="30" customHeight="1" x14ac:dyDescent="0.35">
      <c r="B115" s="39">
        <v>64</v>
      </c>
      <c r="C115" s="40">
        <v>43557</v>
      </c>
      <c r="D115" s="41">
        <v>6253</v>
      </c>
      <c r="E115" s="42" t="s">
        <v>45</v>
      </c>
      <c r="F115" s="43">
        <v>1206.4000000000001</v>
      </c>
      <c r="G115" s="63" t="s">
        <v>48</v>
      </c>
      <c r="H115" s="42" t="s">
        <v>64</v>
      </c>
      <c r="I115" s="42" t="s">
        <v>49</v>
      </c>
      <c r="J115" s="44">
        <v>43557</v>
      </c>
    </row>
    <row r="116" spans="2:10" ht="30" customHeight="1" x14ac:dyDescent="0.35">
      <c r="B116" s="39">
        <v>64</v>
      </c>
      <c r="C116" s="40">
        <v>43559</v>
      </c>
      <c r="D116" s="41">
        <v>6259</v>
      </c>
      <c r="E116" s="42" t="s">
        <v>45</v>
      </c>
      <c r="F116" s="43">
        <v>556.79999999999995</v>
      </c>
      <c r="G116" s="63" t="s">
        <v>48</v>
      </c>
      <c r="H116" s="42" t="s">
        <v>64</v>
      </c>
      <c r="I116" s="42" t="s">
        <v>53</v>
      </c>
      <c r="J116" s="44">
        <v>43556</v>
      </c>
    </row>
    <row r="117" spans="2:10" ht="30" customHeight="1" x14ac:dyDescent="0.35">
      <c r="B117" s="39">
        <v>99</v>
      </c>
      <c r="C117" s="40">
        <v>43559</v>
      </c>
      <c r="D117" s="41" t="s">
        <v>51</v>
      </c>
      <c r="E117" s="42" t="s">
        <v>45</v>
      </c>
      <c r="F117" s="43">
        <v>8038.8</v>
      </c>
      <c r="G117" s="42" t="s">
        <v>72</v>
      </c>
      <c r="H117" s="73" t="s">
        <v>87</v>
      </c>
      <c r="I117" s="42" t="s">
        <v>49</v>
      </c>
      <c r="J117" s="44">
        <v>43559</v>
      </c>
    </row>
    <row r="118" spans="2:10" ht="30" customHeight="1" x14ac:dyDescent="0.35">
      <c r="B118" s="39">
        <v>99</v>
      </c>
      <c r="C118" s="40">
        <v>43566</v>
      </c>
      <c r="D118" s="41">
        <v>8715</v>
      </c>
      <c r="E118" s="42" t="s">
        <v>45</v>
      </c>
      <c r="F118" s="43">
        <v>6167</v>
      </c>
      <c r="G118" s="93" t="s">
        <v>69</v>
      </c>
      <c r="H118" s="42" t="s">
        <v>60</v>
      </c>
      <c r="I118" s="42" t="s">
        <v>39</v>
      </c>
      <c r="J118" s="44">
        <v>43566</v>
      </c>
    </row>
    <row r="119" spans="2:10" ht="30" customHeight="1" x14ac:dyDescent="0.35">
      <c r="B119" s="39">
        <v>61</v>
      </c>
      <c r="C119" s="40">
        <v>43567</v>
      </c>
      <c r="D119" s="41" t="s">
        <v>51</v>
      </c>
      <c r="E119" s="42" t="s">
        <v>45</v>
      </c>
      <c r="F119" s="43">
        <v>1000</v>
      </c>
      <c r="G119" s="42" t="s">
        <v>65</v>
      </c>
      <c r="H119" s="42" t="s">
        <v>54</v>
      </c>
      <c r="I119" s="42" t="s">
        <v>53</v>
      </c>
      <c r="J119" s="44">
        <v>43567</v>
      </c>
    </row>
    <row r="120" spans="2:10" ht="30" customHeight="1" x14ac:dyDescent="0.35">
      <c r="B120" s="39">
        <v>61</v>
      </c>
      <c r="C120" s="40">
        <v>43567</v>
      </c>
      <c r="D120" s="41" t="s">
        <v>51</v>
      </c>
      <c r="E120" s="42" t="s">
        <v>45</v>
      </c>
      <c r="F120" s="43">
        <v>919.5</v>
      </c>
      <c r="G120" s="42" t="s">
        <v>48</v>
      </c>
      <c r="H120" s="42" t="s">
        <v>66</v>
      </c>
      <c r="I120" s="42" t="s">
        <v>53</v>
      </c>
      <c r="J120" s="44">
        <v>43567</v>
      </c>
    </row>
    <row r="121" spans="2:10" ht="30" customHeight="1" x14ac:dyDescent="0.35">
      <c r="B121" s="39">
        <v>64</v>
      </c>
      <c r="C121" s="40">
        <v>43567</v>
      </c>
      <c r="D121" s="41" t="s">
        <v>51</v>
      </c>
      <c r="E121" s="42" t="s">
        <v>45</v>
      </c>
      <c r="F121" s="43">
        <v>1513.8</v>
      </c>
      <c r="G121" s="42" t="s">
        <v>48</v>
      </c>
      <c r="H121" s="42" t="s">
        <v>64</v>
      </c>
      <c r="I121" s="42" t="s">
        <v>49</v>
      </c>
      <c r="J121" s="44">
        <v>43567</v>
      </c>
    </row>
    <row r="122" spans="2:10" ht="30" customHeight="1" x14ac:dyDescent="0.35">
      <c r="B122" s="39">
        <v>99</v>
      </c>
      <c r="C122" s="40">
        <v>43567</v>
      </c>
      <c r="D122" s="41" t="s">
        <v>51</v>
      </c>
      <c r="E122" s="42" t="s">
        <v>45</v>
      </c>
      <c r="F122" s="43">
        <v>7600</v>
      </c>
      <c r="G122" s="42" t="s">
        <v>70</v>
      </c>
      <c r="H122" s="42" t="s">
        <v>52</v>
      </c>
      <c r="I122" s="42" t="s">
        <v>49</v>
      </c>
      <c r="J122" s="44">
        <v>43567</v>
      </c>
    </row>
    <row r="123" spans="2:10" ht="30" customHeight="1" x14ac:dyDescent="0.35">
      <c r="B123" s="39">
        <v>99</v>
      </c>
      <c r="C123" s="40">
        <v>43567</v>
      </c>
      <c r="D123" s="41" t="s">
        <v>51</v>
      </c>
      <c r="E123" s="42" t="s">
        <v>45</v>
      </c>
      <c r="F123" s="43">
        <v>7830</v>
      </c>
      <c r="G123" s="63" t="s">
        <v>72</v>
      </c>
      <c r="H123" s="73" t="s">
        <v>88</v>
      </c>
      <c r="I123" s="42" t="s">
        <v>49</v>
      </c>
      <c r="J123" s="44">
        <v>43567</v>
      </c>
    </row>
    <row r="124" spans="2:10" ht="30" customHeight="1" x14ac:dyDescent="0.35">
      <c r="B124" s="39">
        <v>61</v>
      </c>
      <c r="C124" s="40">
        <v>43577</v>
      </c>
      <c r="D124" s="41" t="s">
        <v>51</v>
      </c>
      <c r="E124" s="42" t="s">
        <v>45</v>
      </c>
      <c r="F124" s="43">
        <v>244</v>
      </c>
      <c r="G124" s="63" t="s">
        <v>48</v>
      </c>
      <c r="H124" s="42" t="s">
        <v>66</v>
      </c>
      <c r="I124" s="42" t="s">
        <v>53</v>
      </c>
      <c r="J124" s="44">
        <v>43577</v>
      </c>
    </row>
    <row r="125" spans="2:10" ht="30" customHeight="1" x14ac:dyDescent="0.35">
      <c r="B125" s="39">
        <v>99</v>
      </c>
      <c r="C125" s="40">
        <v>43577</v>
      </c>
      <c r="D125" s="41" t="s">
        <v>51</v>
      </c>
      <c r="E125" s="42" t="s">
        <v>45</v>
      </c>
      <c r="F125" s="43">
        <v>120</v>
      </c>
      <c r="G125" s="93" t="s">
        <v>69</v>
      </c>
      <c r="H125" s="42" t="s">
        <v>55</v>
      </c>
      <c r="I125" s="42" t="s">
        <v>53</v>
      </c>
      <c r="J125" s="44">
        <v>43577</v>
      </c>
    </row>
    <row r="126" spans="2:10" ht="30" customHeight="1" x14ac:dyDescent="0.35">
      <c r="B126" s="39">
        <v>99</v>
      </c>
      <c r="C126" s="40">
        <v>43578</v>
      </c>
      <c r="D126" s="41" t="s">
        <v>51</v>
      </c>
      <c r="E126" s="42" t="s">
        <v>45</v>
      </c>
      <c r="F126" s="43">
        <f>720.03+320+813</f>
        <v>1853.03</v>
      </c>
      <c r="G126" s="63" t="s">
        <v>70</v>
      </c>
      <c r="H126" s="42" t="s">
        <v>52</v>
      </c>
      <c r="I126" s="42" t="s">
        <v>53</v>
      </c>
      <c r="J126" s="44">
        <v>43578</v>
      </c>
    </row>
    <row r="127" spans="2:10" ht="30" customHeight="1" x14ac:dyDescent="0.35">
      <c r="B127" s="39">
        <v>64</v>
      </c>
      <c r="C127" s="40">
        <v>43580</v>
      </c>
      <c r="D127" s="41" t="s">
        <v>51</v>
      </c>
      <c r="E127" s="42" t="s">
        <v>45</v>
      </c>
      <c r="F127" s="43">
        <v>730.8</v>
      </c>
      <c r="G127" s="63" t="s">
        <v>48</v>
      </c>
      <c r="H127" s="42" t="s">
        <v>64</v>
      </c>
      <c r="I127" s="42" t="s">
        <v>49</v>
      </c>
      <c r="J127" s="44">
        <v>43580</v>
      </c>
    </row>
    <row r="128" spans="2:10" ht="30" customHeight="1" x14ac:dyDescent="0.35">
      <c r="B128" s="39">
        <v>99</v>
      </c>
      <c r="C128" s="40">
        <v>43581</v>
      </c>
      <c r="D128" s="41" t="s">
        <v>51</v>
      </c>
      <c r="E128" s="42" t="s">
        <v>45</v>
      </c>
      <c r="F128" s="43">
        <v>7308</v>
      </c>
      <c r="G128" s="63" t="s">
        <v>72</v>
      </c>
      <c r="H128" s="73" t="s">
        <v>89</v>
      </c>
      <c r="I128" s="42" t="s">
        <v>49</v>
      </c>
      <c r="J128" s="44">
        <v>43581</v>
      </c>
    </row>
    <row r="129" spans="2:10" ht="30" customHeight="1" x14ac:dyDescent="0.35">
      <c r="B129" s="39">
        <v>61</v>
      </c>
      <c r="C129" s="40">
        <v>43584</v>
      </c>
      <c r="D129" s="41" t="s">
        <v>51</v>
      </c>
      <c r="E129" s="42" t="s">
        <v>45</v>
      </c>
      <c r="F129" s="43">
        <v>2618</v>
      </c>
      <c r="G129" s="42" t="s">
        <v>48</v>
      </c>
      <c r="H129" s="42" t="s">
        <v>66</v>
      </c>
      <c r="I129" s="42" t="s">
        <v>39</v>
      </c>
      <c r="J129" s="44">
        <v>43584</v>
      </c>
    </row>
    <row r="130" spans="2:10" ht="30" customHeight="1" x14ac:dyDescent="0.35">
      <c r="B130" s="39">
        <v>64</v>
      </c>
      <c r="C130" s="40">
        <v>43584</v>
      </c>
      <c r="D130" s="41">
        <v>103</v>
      </c>
      <c r="E130" s="42" t="s">
        <v>47</v>
      </c>
      <c r="F130" s="43">
        <v>730.8</v>
      </c>
      <c r="G130" s="63" t="s">
        <v>48</v>
      </c>
      <c r="H130" s="42" t="s">
        <v>64</v>
      </c>
      <c r="I130" s="42" t="s">
        <v>49</v>
      </c>
      <c r="J130" s="44">
        <v>43584</v>
      </c>
    </row>
    <row r="131" spans="2:10" ht="30" customHeight="1" x14ac:dyDescent="0.35">
      <c r="B131" s="39">
        <v>64</v>
      </c>
      <c r="C131" s="40">
        <v>43584</v>
      </c>
      <c r="D131" s="41" t="s">
        <v>51</v>
      </c>
      <c r="E131" s="42" t="s">
        <v>45</v>
      </c>
      <c r="F131" s="43">
        <v>2901.72</v>
      </c>
      <c r="G131" s="42" t="s">
        <v>48</v>
      </c>
      <c r="H131" s="42" t="s">
        <v>64</v>
      </c>
      <c r="I131" s="42" t="s">
        <v>53</v>
      </c>
      <c r="J131" s="44">
        <v>43584</v>
      </c>
    </row>
    <row r="132" spans="2:10" ht="30" customHeight="1" x14ac:dyDescent="0.35">
      <c r="B132" s="39">
        <v>99</v>
      </c>
      <c r="C132" s="40">
        <v>43584</v>
      </c>
      <c r="D132" s="41" t="s">
        <v>51</v>
      </c>
      <c r="E132" s="42" t="s">
        <v>45</v>
      </c>
      <c r="F132" s="43">
        <v>170</v>
      </c>
      <c r="G132" s="93" t="s">
        <v>69</v>
      </c>
      <c r="H132" s="42" t="s">
        <v>55</v>
      </c>
      <c r="I132" s="42" t="s">
        <v>53</v>
      </c>
      <c r="J132" s="44">
        <v>43584</v>
      </c>
    </row>
    <row r="133" spans="2:10" ht="30" customHeight="1" x14ac:dyDescent="0.35">
      <c r="B133" s="39">
        <v>99</v>
      </c>
      <c r="C133" s="40">
        <v>43584</v>
      </c>
      <c r="D133" s="41" t="s">
        <v>51</v>
      </c>
      <c r="E133" s="42" t="s">
        <v>45</v>
      </c>
      <c r="F133" s="43">
        <f>756+27</f>
        <v>783</v>
      </c>
      <c r="G133" s="42" t="s">
        <v>70</v>
      </c>
      <c r="H133" s="42" t="s">
        <v>52</v>
      </c>
      <c r="I133" s="42" t="s">
        <v>53</v>
      </c>
      <c r="J133" s="44">
        <v>43584</v>
      </c>
    </row>
    <row r="134" spans="2:10" ht="30" customHeight="1" x14ac:dyDescent="0.35">
      <c r="B134" s="39">
        <v>99</v>
      </c>
      <c r="C134" s="40">
        <v>43585</v>
      </c>
      <c r="D134" s="41" t="s">
        <v>51</v>
      </c>
      <c r="E134" s="42" t="s">
        <v>45</v>
      </c>
      <c r="F134" s="43">
        <v>1000</v>
      </c>
      <c r="G134" s="42" t="s">
        <v>70</v>
      </c>
      <c r="H134" s="42" t="s">
        <v>52</v>
      </c>
      <c r="I134" s="42" t="s">
        <v>53</v>
      </c>
      <c r="J134" s="44">
        <v>43585</v>
      </c>
    </row>
    <row r="135" spans="2:10" ht="30" customHeight="1" x14ac:dyDescent="0.35">
      <c r="B135" s="39">
        <v>61</v>
      </c>
      <c r="C135" s="40">
        <v>43587</v>
      </c>
      <c r="D135" s="41" t="s">
        <v>51</v>
      </c>
      <c r="E135" s="42" t="s">
        <v>47</v>
      </c>
      <c r="F135" s="43">
        <f>500+425.62+350</f>
        <v>1275.6199999999999</v>
      </c>
      <c r="G135" s="42" t="s">
        <v>65</v>
      </c>
      <c r="H135" s="42" t="s">
        <v>54</v>
      </c>
      <c r="I135" s="42" t="s">
        <v>53</v>
      </c>
      <c r="J135" s="44">
        <v>43587</v>
      </c>
    </row>
    <row r="136" spans="2:10" ht="30" customHeight="1" x14ac:dyDescent="0.35">
      <c r="B136" s="39">
        <v>99</v>
      </c>
      <c r="C136" s="40">
        <v>43587</v>
      </c>
      <c r="D136" s="41" t="s">
        <v>51</v>
      </c>
      <c r="E136" s="42" t="s">
        <v>47</v>
      </c>
      <c r="F136" s="43">
        <f>1100+1020.01+320</f>
        <v>2440.0100000000002</v>
      </c>
      <c r="G136" s="42" t="s">
        <v>70</v>
      </c>
      <c r="H136" s="42" t="s">
        <v>52</v>
      </c>
      <c r="I136" s="42" t="s">
        <v>53</v>
      </c>
      <c r="J136" s="44">
        <v>43587</v>
      </c>
    </row>
    <row r="137" spans="2:10" ht="30" customHeight="1" x14ac:dyDescent="0.35">
      <c r="B137" s="39">
        <v>99</v>
      </c>
      <c r="C137" s="40">
        <v>43587</v>
      </c>
      <c r="D137" s="41" t="s">
        <v>51</v>
      </c>
      <c r="E137" s="42" t="s">
        <v>47</v>
      </c>
      <c r="F137" s="43">
        <f>775.02+10</f>
        <v>785.02</v>
      </c>
      <c r="G137" s="42" t="s">
        <v>70</v>
      </c>
      <c r="H137" s="42" t="s">
        <v>52</v>
      </c>
      <c r="I137" s="42" t="s">
        <v>53</v>
      </c>
      <c r="J137" s="44">
        <v>43587</v>
      </c>
    </row>
    <row r="138" spans="2:10" ht="30" customHeight="1" x14ac:dyDescent="0.35">
      <c r="B138" s="39">
        <v>99</v>
      </c>
      <c r="C138" s="40">
        <v>43591</v>
      </c>
      <c r="D138" s="41" t="s">
        <v>51</v>
      </c>
      <c r="E138" s="42" t="s">
        <v>47</v>
      </c>
      <c r="F138" s="43">
        <v>120</v>
      </c>
      <c r="G138" s="93" t="s">
        <v>69</v>
      </c>
      <c r="H138" s="42" t="s">
        <v>55</v>
      </c>
      <c r="I138" s="42" t="s">
        <v>53</v>
      </c>
      <c r="J138" s="44">
        <v>43591</v>
      </c>
    </row>
    <row r="139" spans="2:10" ht="30" customHeight="1" x14ac:dyDescent="0.35">
      <c r="B139" s="39">
        <v>64</v>
      </c>
      <c r="C139" s="40">
        <v>43592</v>
      </c>
      <c r="D139" s="41">
        <v>104</v>
      </c>
      <c r="E139" s="42" t="s">
        <v>47</v>
      </c>
      <c r="F139" s="43">
        <v>5689.8</v>
      </c>
      <c r="G139" s="42" t="s">
        <v>48</v>
      </c>
      <c r="H139" s="42" t="s">
        <v>64</v>
      </c>
      <c r="I139" s="42" t="s">
        <v>49</v>
      </c>
      <c r="J139" s="44">
        <v>43592</v>
      </c>
    </row>
    <row r="140" spans="2:10" ht="30" customHeight="1" x14ac:dyDescent="0.35">
      <c r="B140" s="39">
        <v>64</v>
      </c>
      <c r="C140" s="40">
        <v>43592</v>
      </c>
      <c r="D140" s="41">
        <v>107</v>
      </c>
      <c r="E140" s="42" t="s">
        <v>47</v>
      </c>
      <c r="F140" s="43">
        <v>1094</v>
      </c>
      <c r="G140" s="63" t="s">
        <v>48</v>
      </c>
      <c r="H140" s="42" t="s">
        <v>64</v>
      </c>
      <c r="I140" s="42" t="s">
        <v>49</v>
      </c>
      <c r="J140" s="44">
        <v>43592</v>
      </c>
    </row>
    <row r="141" spans="2:10" ht="30" customHeight="1" x14ac:dyDescent="0.35">
      <c r="B141" s="39">
        <v>99</v>
      </c>
      <c r="C141" s="40">
        <v>43592</v>
      </c>
      <c r="D141" s="41" t="s">
        <v>51</v>
      </c>
      <c r="E141" s="42" t="s">
        <v>47</v>
      </c>
      <c r="F141" s="43">
        <f>800.03+895.85+1268.61+1612+10</f>
        <v>4586.49</v>
      </c>
      <c r="G141" s="63" t="s">
        <v>70</v>
      </c>
      <c r="H141" s="42" t="s">
        <v>52</v>
      </c>
      <c r="I141" s="42" t="s">
        <v>53</v>
      </c>
      <c r="J141" s="44">
        <v>43592</v>
      </c>
    </row>
    <row r="142" spans="2:10" ht="30" customHeight="1" x14ac:dyDescent="0.35">
      <c r="B142" s="39">
        <v>99</v>
      </c>
      <c r="C142" s="40">
        <v>43592</v>
      </c>
      <c r="D142" s="41">
        <v>105</v>
      </c>
      <c r="E142" s="42" t="s">
        <v>47</v>
      </c>
      <c r="F142" s="43">
        <v>5689.8</v>
      </c>
      <c r="G142" s="42" t="s">
        <v>72</v>
      </c>
      <c r="H142" s="73" t="s">
        <v>90</v>
      </c>
      <c r="I142" s="42" t="s">
        <v>49</v>
      </c>
      <c r="J142" s="44">
        <v>43592</v>
      </c>
    </row>
    <row r="143" spans="2:10" ht="30" customHeight="1" x14ac:dyDescent="0.35">
      <c r="B143" s="39">
        <v>64</v>
      </c>
      <c r="C143" s="40">
        <v>43593</v>
      </c>
      <c r="D143" s="41" t="s">
        <v>51</v>
      </c>
      <c r="E143" s="42" t="s">
        <v>47</v>
      </c>
      <c r="F143" s="43">
        <v>6802.4</v>
      </c>
      <c r="G143" s="63" t="s">
        <v>48</v>
      </c>
      <c r="H143" s="42" t="s">
        <v>64</v>
      </c>
      <c r="I143" s="42" t="s">
        <v>49</v>
      </c>
      <c r="J143" s="44">
        <v>43593</v>
      </c>
    </row>
    <row r="144" spans="2:10" ht="30" customHeight="1" x14ac:dyDescent="0.35">
      <c r="B144" s="39">
        <v>99</v>
      </c>
      <c r="C144" s="40">
        <v>43594</v>
      </c>
      <c r="D144" s="41" t="s">
        <v>51</v>
      </c>
      <c r="E144" s="42" t="s">
        <v>47</v>
      </c>
      <c r="F144" s="43">
        <f>397.99+347.99+8+174+1937.2</f>
        <v>2865.1800000000003</v>
      </c>
      <c r="G144" s="42" t="s">
        <v>70</v>
      </c>
      <c r="H144" s="42" t="s">
        <v>52</v>
      </c>
      <c r="I144" s="42" t="s">
        <v>53</v>
      </c>
      <c r="J144" s="44">
        <v>43594</v>
      </c>
    </row>
    <row r="145" spans="2:10" ht="30" customHeight="1" x14ac:dyDescent="0.35">
      <c r="B145" s="39">
        <v>64</v>
      </c>
      <c r="C145" s="40">
        <v>43595</v>
      </c>
      <c r="D145" s="41" t="s">
        <v>51</v>
      </c>
      <c r="E145" s="61" t="s">
        <v>47</v>
      </c>
      <c r="F145" s="43">
        <v>870</v>
      </c>
      <c r="G145" s="63" t="s">
        <v>48</v>
      </c>
      <c r="H145" s="42" t="s">
        <v>64</v>
      </c>
      <c r="I145" s="42" t="s">
        <v>49</v>
      </c>
      <c r="J145" s="44">
        <v>43595</v>
      </c>
    </row>
    <row r="146" spans="2:10" ht="30" customHeight="1" x14ac:dyDescent="0.35">
      <c r="B146" s="39">
        <v>99</v>
      </c>
      <c r="C146" s="40">
        <v>43595</v>
      </c>
      <c r="D146" s="41" t="s">
        <v>51</v>
      </c>
      <c r="E146" s="42" t="s">
        <v>47</v>
      </c>
      <c r="F146" s="43">
        <v>8404.2000000000007</v>
      </c>
      <c r="G146" s="63" t="s">
        <v>72</v>
      </c>
      <c r="H146" s="73" t="s">
        <v>91</v>
      </c>
      <c r="I146" s="42" t="s">
        <v>49</v>
      </c>
      <c r="J146" s="44">
        <v>43595</v>
      </c>
    </row>
    <row r="147" spans="2:10" ht="30" customHeight="1" x14ac:dyDescent="0.35">
      <c r="B147" s="39">
        <v>99</v>
      </c>
      <c r="C147" s="40">
        <v>43598</v>
      </c>
      <c r="D147" s="41" t="s">
        <v>51</v>
      </c>
      <c r="E147" s="42" t="s">
        <v>47</v>
      </c>
      <c r="F147" s="43">
        <f>1015+1698.99+1569.89+12+27</f>
        <v>4322.88</v>
      </c>
      <c r="G147" s="42" t="s">
        <v>70</v>
      </c>
      <c r="H147" s="42" t="s">
        <v>52</v>
      </c>
      <c r="I147" s="42" t="s">
        <v>53</v>
      </c>
      <c r="J147" s="44">
        <v>43598</v>
      </c>
    </row>
    <row r="148" spans="2:10" ht="30" customHeight="1" x14ac:dyDescent="0.35">
      <c r="B148" s="39">
        <v>99</v>
      </c>
      <c r="C148" s="40">
        <v>43599</v>
      </c>
      <c r="D148" s="41" t="s">
        <v>51</v>
      </c>
      <c r="E148" s="42" t="s">
        <v>47</v>
      </c>
      <c r="F148" s="43">
        <f>1523.02+1420.04</f>
        <v>2943.06</v>
      </c>
      <c r="G148" s="63" t="s">
        <v>70</v>
      </c>
      <c r="H148" s="42" t="s">
        <v>52</v>
      </c>
      <c r="I148" s="42" t="s">
        <v>53</v>
      </c>
      <c r="J148" s="44">
        <v>43599</v>
      </c>
    </row>
    <row r="149" spans="2:10" ht="30" customHeight="1" x14ac:dyDescent="0.35">
      <c r="B149" s="39">
        <v>99</v>
      </c>
      <c r="C149" s="40">
        <v>43607</v>
      </c>
      <c r="D149" s="41" t="s">
        <v>51</v>
      </c>
      <c r="E149" s="42" t="s">
        <v>47</v>
      </c>
      <c r="F149" s="43">
        <v>8471.64</v>
      </c>
      <c r="G149" s="42" t="s">
        <v>70</v>
      </c>
      <c r="H149" s="42" t="s">
        <v>52</v>
      </c>
      <c r="I149" s="42" t="s">
        <v>49</v>
      </c>
      <c r="J149" s="44">
        <v>43607</v>
      </c>
    </row>
    <row r="150" spans="2:10" ht="30" customHeight="1" x14ac:dyDescent="0.35">
      <c r="B150" s="39">
        <v>99</v>
      </c>
      <c r="C150" s="40">
        <v>43607</v>
      </c>
      <c r="D150" s="41" t="s">
        <v>51</v>
      </c>
      <c r="E150" s="42" t="s">
        <v>47</v>
      </c>
      <c r="F150" s="43">
        <v>8520</v>
      </c>
      <c r="G150" s="42" t="s">
        <v>70</v>
      </c>
      <c r="H150" s="42" t="s">
        <v>52</v>
      </c>
      <c r="I150" s="42" t="s">
        <v>49</v>
      </c>
      <c r="J150" s="44">
        <v>43607</v>
      </c>
    </row>
    <row r="151" spans="2:10" ht="30" customHeight="1" x14ac:dyDescent="0.35">
      <c r="B151" s="39">
        <v>99</v>
      </c>
      <c r="C151" s="40">
        <v>43607</v>
      </c>
      <c r="D151" s="41" t="s">
        <v>51</v>
      </c>
      <c r="E151" s="42" t="s">
        <v>47</v>
      </c>
      <c r="F151" s="43">
        <v>4123.8</v>
      </c>
      <c r="G151" s="63" t="s">
        <v>72</v>
      </c>
      <c r="H151" s="73" t="s">
        <v>92</v>
      </c>
      <c r="I151" s="42" t="s">
        <v>49</v>
      </c>
      <c r="J151" s="44">
        <v>43607</v>
      </c>
    </row>
    <row r="152" spans="2:10" ht="30" customHeight="1" x14ac:dyDescent="0.35">
      <c r="B152" s="39">
        <v>99</v>
      </c>
      <c r="C152" s="40">
        <v>43609</v>
      </c>
      <c r="D152" s="41" t="s">
        <v>51</v>
      </c>
      <c r="E152" s="42" t="s">
        <v>47</v>
      </c>
      <c r="F152" s="43">
        <v>7360.2</v>
      </c>
      <c r="G152" s="42" t="s">
        <v>72</v>
      </c>
      <c r="H152" s="73" t="s">
        <v>93</v>
      </c>
      <c r="I152" s="42" t="s">
        <v>49</v>
      </c>
      <c r="J152" s="44">
        <v>43609</v>
      </c>
    </row>
    <row r="153" spans="2:10" ht="30" customHeight="1" x14ac:dyDescent="0.35">
      <c r="B153" s="39">
        <v>61</v>
      </c>
      <c r="C153" s="40">
        <v>43616</v>
      </c>
      <c r="D153" s="41">
        <v>1238</v>
      </c>
      <c r="E153" s="42" t="s">
        <v>47</v>
      </c>
      <c r="F153" s="43">
        <f>13920+45+195+300+900+100</f>
        <v>15460</v>
      </c>
      <c r="G153" s="42" t="s">
        <v>48</v>
      </c>
      <c r="H153" s="42" t="s">
        <v>50</v>
      </c>
      <c r="I153" s="42" t="s">
        <v>49</v>
      </c>
      <c r="J153" s="44">
        <v>43600</v>
      </c>
    </row>
    <row r="154" spans="2:10" ht="30" customHeight="1" x14ac:dyDescent="0.35">
      <c r="B154" s="39">
        <v>99</v>
      </c>
      <c r="C154" s="40">
        <v>43619</v>
      </c>
      <c r="D154" s="41" t="s">
        <v>51</v>
      </c>
      <c r="E154" s="42" t="s">
        <v>47</v>
      </c>
      <c r="F154" s="43">
        <f>240+5+820+1089+1142.05+5+5+200+27+30+400+100+950.06+920.01+320+1068.6+2338.5+736.2+1113.4+5+800.03+320+222</f>
        <v>12856.850000000002</v>
      </c>
      <c r="G154" s="63" t="s">
        <v>70</v>
      </c>
      <c r="H154" s="42" t="s">
        <v>52</v>
      </c>
      <c r="I154" s="42" t="s">
        <v>53</v>
      </c>
      <c r="J154" s="44">
        <v>43619</v>
      </c>
    </row>
    <row r="155" spans="2:10" ht="30" customHeight="1" x14ac:dyDescent="0.35">
      <c r="B155" s="39">
        <v>99</v>
      </c>
      <c r="C155" s="40">
        <v>43619</v>
      </c>
      <c r="D155" s="41" t="s">
        <v>51</v>
      </c>
      <c r="E155" s="42" t="s">
        <v>47</v>
      </c>
      <c r="F155" s="43">
        <v>7099.2</v>
      </c>
      <c r="G155" s="63" t="s">
        <v>72</v>
      </c>
      <c r="H155" s="73" t="s">
        <v>94</v>
      </c>
      <c r="I155" s="42" t="s">
        <v>49</v>
      </c>
      <c r="J155" s="44">
        <v>43619</v>
      </c>
    </row>
    <row r="156" spans="2:10" ht="30" customHeight="1" x14ac:dyDescent="0.35">
      <c r="B156" s="39">
        <v>64</v>
      </c>
      <c r="C156" s="40">
        <v>43620</v>
      </c>
      <c r="D156" s="41" t="s">
        <v>51</v>
      </c>
      <c r="E156" s="42" t="s">
        <v>47</v>
      </c>
      <c r="F156" s="43">
        <v>556.79999999999995</v>
      </c>
      <c r="G156" s="63" t="s">
        <v>48</v>
      </c>
      <c r="H156" s="42" t="s">
        <v>64</v>
      </c>
      <c r="I156" s="42" t="s">
        <v>49</v>
      </c>
      <c r="J156" s="44">
        <v>43620</v>
      </c>
    </row>
    <row r="157" spans="2:10" ht="30" customHeight="1" x14ac:dyDescent="0.35">
      <c r="B157" s="39">
        <v>99</v>
      </c>
      <c r="C157" s="40">
        <v>43620</v>
      </c>
      <c r="D157" s="41">
        <v>3543</v>
      </c>
      <c r="E157" s="42" t="s">
        <v>47</v>
      </c>
      <c r="F157" s="43">
        <v>3250</v>
      </c>
      <c r="G157" s="42" t="s">
        <v>70</v>
      </c>
      <c r="H157" s="42" t="s">
        <v>52</v>
      </c>
      <c r="I157" s="42" t="s">
        <v>49</v>
      </c>
      <c r="J157" s="44">
        <v>43620</v>
      </c>
    </row>
    <row r="158" spans="2:10" ht="30" customHeight="1" x14ac:dyDescent="0.35">
      <c r="B158" s="39">
        <v>61</v>
      </c>
      <c r="C158" s="40">
        <v>43621</v>
      </c>
      <c r="D158" s="41">
        <v>6688947</v>
      </c>
      <c r="E158" s="42" t="s">
        <v>47</v>
      </c>
      <c r="F158" s="43">
        <v>8000</v>
      </c>
      <c r="G158" s="63" t="s">
        <v>48</v>
      </c>
      <c r="H158" s="42" t="s">
        <v>66</v>
      </c>
      <c r="I158" s="73" t="s">
        <v>39</v>
      </c>
      <c r="J158" s="44">
        <v>43621</v>
      </c>
    </row>
    <row r="159" spans="2:10" ht="30" customHeight="1" x14ac:dyDescent="0.35">
      <c r="B159" s="39">
        <v>61</v>
      </c>
      <c r="C159" s="40">
        <v>43621</v>
      </c>
      <c r="D159" s="41" t="s">
        <v>51</v>
      </c>
      <c r="E159" s="42" t="s">
        <v>47</v>
      </c>
      <c r="F159" s="43">
        <v>8000</v>
      </c>
      <c r="G159" s="63" t="s">
        <v>48</v>
      </c>
      <c r="H159" s="42" t="s">
        <v>66</v>
      </c>
      <c r="I159" s="73" t="s">
        <v>39</v>
      </c>
      <c r="J159" s="44">
        <v>43621</v>
      </c>
    </row>
    <row r="160" spans="2:10" ht="30" customHeight="1" x14ac:dyDescent="0.35">
      <c r="B160" s="39">
        <v>99</v>
      </c>
      <c r="C160" s="40">
        <v>43622</v>
      </c>
      <c r="D160" s="41" t="s">
        <v>51</v>
      </c>
      <c r="E160" s="42" t="s">
        <v>47</v>
      </c>
      <c r="F160" s="43">
        <v>8324.5</v>
      </c>
      <c r="G160" s="42" t="s">
        <v>70</v>
      </c>
      <c r="H160" s="42" t="s">
        <v>52</v>
      </c>
      <c r="I160" s="42" t="s">
        <v>49</v>
      </c>
      <c r="J160" s="44">
        <v>43622</v>
      </c>
    </row>
    <row r="161" spans="2:10" ht="30" customHeight="1" x14ac:dyDescent="0.35">
      <c r="B161" s="39">
        <v>99</v>
      </c>
      <c r="C161" s="40">
        <v>43623</v>
      </c>
      <c r="D161" s="41" t="s">
        <v>51</v>
      </c>
      <c r="E161" s="42" t="s">
        <v>47</v>
      </c>
      <c r="F161" s="43">
        <v>6472.8</v>
      </c>
      <c r="G161" s="63" t="s">
        <v>72</v>
      </c>
      <c r="H161" s="73" t="s">
        <v>95</v>
      </c>
      <c r="I161" s="42" t="s">
        <v>49</v>
      </c>
      <c r="J161" s="44">
        <v>43623</v>
      </c>
    </row>
    <row r="162" spans="2:10" ht="30" customHeight="1" x14ac:dyDescent="0.35">
      <c r="B162" s="39">
        <v>99</v>
      </c>
      <c r="C162" s="40">
        <v>43630</v>
      </c>
      <c r="D162" s="41" t="s">
        <v>51</v>
      </c>
      <c r="E162" s="42" t="s">
        <v>47</v>
      </c>
      <c r="F162" s="43">
        <v>6472.8</v>
      </c>
      <c r="G162" s="63" t="s">
        <v>72</v>
      </c>
      <c r="H162" s="73" t="s">
        <v>95</v>
      </c>
      <c r="I162" s="42" t="s">
        <v>49</v>
      </c>
      <c r="J162" s="44">
        <v>43630</v>
      </c>
    </row>
    <row r="163" spans="2:10" ht="30" customHeight="1" x14ac:dyDescent="0.35">
      <c r="B163" s="39">
        <v>99</v>
      </c>
      <c r="C163" s="40">
        <v>43635</v>
      </c>
      <c r="D163" s="41" t="s">
        <v>51</v>
      </c>
      <c r="E163" s="42" t="s">
        <v>47</v>
      </c>
      <c r="F163" s="43">
        <v>1680.76</v>
      </c>
      <c r="G163" s="42" t="s">
        <v>70</v>
      </c>
      <c r="H163" s="42" t="s">
        <v>52</v>
      </c>
      <c r="I163" s="42" t="s">
        <v>49</v>
      </c>
      <c r="J163" s="44">
        <v>43635</v>
      </c>
    </row>
    <row r="164" spans="2:10" ht="30" customHeight="1" x14ac:dyDescent="0.35">
      <c r="B164" s="39">
        <v>99</v>
      </c>
      <c r="C164" s="40">
        <v>43637</v>
      </c>
      <c r="D164" s="41" t="s">
        <v>51</v>
      </c>
      <c r="E164" s="42" t="s">
        <v>47</v>
      </c>
      <c r="F164" s="43">
        <v>5533.2</v>
      </c>
      <c r="G164" s="63" t="s">
        <v>72</v>
      </c>
      <c r="H164" s="73" t="s">
        <v>96</v>
      </c>
      <c r="I164" s="42" t="s">
        <v>49</v>
      </c>
      <c r="J164" s="44">
        <v>43637</v>
      </c>
    </row>
    <row r="165" spans="2:10" ht="30" customHeight="1" x14ac:dyDescent="0.35">
      <c r="B165" s="39">
        <v>99</v>
      </c>
      <c r="C165" s="40">
        <v>43642</v>
      </c>
      <c r="D165" s="41" t="s">
        <v>51</v>
      </c>
      <c r="E165" s="42" t="s">
        <v>47</v>
      </c>
      <c r="F165" s="43">
        <v>12043.72</v>
      </c>
      <c r="G165" s="63" t="s">
        <v>70</v>
      </c>
      <c r="H165" s="42" t="s">
        <v>52</v>
      </c>
      <c r="I165" s="42" t="s">
        <v>49</v>
      </c>
      <c r="J165" s="44">
        <v>43642</v>
      </c>
    </row>
    <row r="166" spans="2:10" ht="30" customHeight="1" x14ac:dyDescent="0.35">
      <c r="B166" s="39">
        <v>99</v>
      </c>
      <c r="C166" s="40">
        <v>43644</v>
      </c>
      <c r="D166" s="41" t="s">
        <v>51</v>
      </c>
      <c r="E166" s="42" t="s">
        <v>47</v>
      </c>
      <c r="F166" s="43">
        <v>7748.8</v>
      </c>
      <c r="G166" s="42" t="s">
        <v>70</v>
      </c>
      <c r="H166" s="42" t="s">
        <v>52</v>
      </c>
      <c r="I166" s="42" t="s">
        <v>49</v>
      </c>
      <c r="J166" s="44">
        <v>43644</v>
      </c>
    </row>
    <row r="167" spans="2:10" ht="30" customHeight="1" x14ac:dyDescent="0.35">
      <c r="B167" s="39">
        <v>99</v>
      </c>
      <c r="C167" s="40">
        <v>43644</v>
      </c>
      <c r="D167" s="41" t="s">
        <v>51</v>
      </c>
      <c r="E167" s="42" t="s">
        <v>47</v>
      </c>
      <c r="F167" s="43">
        <v>5846.4</v>
      </c>
      <c r="G167" s="63" t="s">
        <v>72</v>
      </c>
      <c r="H167" s="73" t="s">
        <v>97</v>
      </c>
      <c r="I167" s="42" t="s">
        <v>49</v>
      </c>
      <c r="J167" s="44">
        <v>43644</v>
      </c>
    </row>
    <row r="168" spans="2:10" ht="30" customHeight="1" x14ac:dyDescent="0.35">
      <c r="B168" s="94">
        <v>61</v>
      </c>
      <c r="C168" s="95">
        <v>43656</v>
      </c>
      <c r="D168" s="41" t="s">
        <v>51</v>
      </c>
      <c r="E168" s="97" t="s">
        <v>109</v>
      </c>
      <c r="F168" s="98">
        <v>3000</v>
      </c>
      <c r="G168" s="97" t="s">
        <v>72</v>
      </c>
      <c r="H168" s="97" t="s">
        <v>110</v>
      </c>
      <c r="I168" s="42" t="s">
        <v>49</v>
      </c>
      <c r="J168" s="99">
        <v>43656</v>
      </c>
    </row>
    <row r="169" spans="2:10" ht="30" customHeight="1" x14ac:dyDescent="0.35">
      <c r="B169" s="100">
        <v>61</v>
      </c>
      <c r="C169" s="101">
        <v>43656</v>
      </c>
      <c r="D169" s="41" t="s">
        <v>51</v>
      </c>
      <c r="E169" s="103" t="s">
        <v>109</v>
      </c>
      <c r="F169" s="104">
        <v>3000</v>
      </c>
      <c r="G169" s="103" t="s">
        <v>72</v>
      </c>
      <c r="H169" s="103" t="s">
        <v>110</v>
      </c>
      <c r="I169" s="42" t="s">
        <v>49</v>
      </c>
      <c r="J169" s="105">
        <v>43656</v>
      </c>
    </row>
    <row r="170" spans="2:10" ht="30" customHeight="1" x14ac:dyDescent="0.35">
      <c r="B170" s="94">
        <v>64</v>
      </c>
      <c r="C170" s="95">
        <v>43651</v>
      </c>
      <c r="D170" s="96" t="s">
        <v>11</v>
      </c>
      <c r="E170" s="97" t="s">
        <v>109</v>
      </c>
      <c r="F170" s="98">
        <v>603.20000000000005</v>
      </c>
      <c r="G170" s="97" t="s">
        <v>48</v>
      </c>
      <c r="H170" s="42" t="s">
        <v>64</v>
      </c>
      <c r="I170" s="42" t="s">
        <v>49</v>
      </c>
      <c r="J170" s="99">
        <v>43651</v>
      </c>
    </row>
    <row r="171" spans="2:10" ht="30" customHeight="1" x14ac:dyDescent="0.35">
      <c r="B171" s="100">
        <v>64</v>
      </c>
      <c r="C171" s="101">
        <v>43654</v>
      </c>
      <c r="D171" s="102" t="s">
        <v>11</v>
      </c>
      <c r="E171" s="103" t="s">
        <v>109</v>
      </c>
      <c r="F171" s="104">
        <v>1210</v>
      </c>
      <c r="G171" s="103" t="s">
        <v>48</v>
      </c>
      <c r="H171" s="42" t="s">
        <v>64</v>
      </c>
      <c r="I171" s="42" t="s">
        <v>49</v>
      </c>
      <c r="J171" s="105">
        <v>43654</v>
      </c>
    </row>
    <row r="172" spans="2:10" ht="30" customHeight="1" x14ac:dyDescent="0.35">
      <c r="B172" s="94">
        <v>99</v>
      </c>
      <c r="C172" s="95">
        <v>43650</v>
      </c>
      <c r="D172" s="41" t="s">
        <v>51</v>
      </c>
      <c r="E172" s="97" t="s">
        <v>109</v>
      </c>
      <c r="F172" s="98">
        <v>4541.3999999999996</v>
      </c>
      <c r="G172" s="93" t="s">
        <v>72</v>
      </c>
      <c r="H172" s="73" t="s">
        <v>111</v>
      </c>
      <c r="I172" s="42" t="s">
        <v>49</v>
      </c>
      <c r="J172" s="99">
        <v>43650</v>
      </c>
    </row>
    <row r="173" spans="2:10" ht="30" customHeight="1" x14ac:dyDescent="0.35">
      <c r="B173" s="94">
        <v>99</v>
      </c>
      <c r="C173" s="95">
        <v>43654</v>
      </c>
      <c r="D173" s="41" t="s">
        <v>51</v>
      </c>
      <c r="E173" s="97" t="s">
        <v>109</v>
      </c>
      <c r="F173" s="98">
        <v>10089.130000000001</v>
      </c>
      <c r="G173" s="97" t="s">
        <v>70</v>
      </c>
      <c r="H173" s="97" t="s">
        <v>52</v>
      </c>
      <c r="I173" s="97" t="s">
        <v>53</v>
      </c>
      <c r="J173" s="99">
        <v>43654</v>
      </c>
    </row>
    <row r="174" spans="2:10" ht="30" customHeight="1" x14ac:dyDescent="0.35">
      <c r="B174" s="94">
        <v>99</v>
      </c>
      <c r="C174" s="95">
        <v>43658</v>
      </c>
      <c r="D174" s="41" t="s">
        <v>51</v>
      </c>
      <c r="E174" s="97" t="s">
        <v>109</v>
      </c>
      <c r="F174" s="98">
        <v>4280.3999999999996</v>
      </c>
      <c r="G174" s="93" t="s">
        <v>72</v>
      </c>
      <c r="H174" s="73" t="s">
        <v>112</v>
      </c>
      <c r="I174" s="97" t="s">
        <v>49</v>
      </c>
      <c r="J174" s="99">
        <v>43658</v>
      </c>
    </row>
    <row r="175" spans="2:10" ht="30" customHeight="1" x14ac:dyDescent="0.35">
      <c r="B175" s="94">
        <v>99</v>
      </c>
      <c r="C175" s="95">
        <v>43665</v>
      </c>
      <c r="D175" s="41" t="s">
        <v>51</v>
      </c>
      <c r="E175" s="97" t="s">
        <v>109</v>
      </c>
      <c r="F175" s="98">
        <v>3915</v>
      </c>
      <c r="G175" s="93" t="s">
        <v>72</v>
      </c>
      <c r="H175" s="73" t="s">
        <v>113</v>
      </c>
      <c r="I175" s="97" t="s">
        <v>49</v>
      </c>
      <c r="J175" s="99">
        <v>43665</v>
      </c>
    </row>
    <row r="176" spans="2:10" ht="30" customHeight="1" x14ac:dyDescent="0.35">
      <c r="B176" s="100">
        <v>99</v>
      </c>
      <c r="C176" s="101">
        <v>43672</v>
      </c>
      <c r="D176" s="41" t="s">
        <v>51</v>
      </c>
      <c r="E176" s="103" t="s">
        <v>109</v>
      </c>
      <c r="F176" s="104">
        <v>4645.8</v>
      </c>
      <c r="G176" s="93" t="s">
        <v>72</v>
      </c>
      <c r="H176" s="73" t="s">
        <v>114</v>
      </c>
      <c r="I176" s="103" t="s">
        <v>49</v>
      </c>
      <c r="J176" s="105">
        <v>43672</v>
      </c>
    </row>
    <row r="177" spans="2:10" ht="30" customHeight="1" x14ac:dyDescent="0.35">
      <c r="B177" s="94">
        <v>61</v>
      </c>
      <c r="C177" s="95">
        <v>43684</v>
      </c>
      <c r="D177" s="96" t="s">
        <v>12</v>
      </c>
      <c r="E177" s="97" t="s">
        <v>109</v>
      </c>
      <c r="F177" s="98">
        <v>8000</v>
      </c>
      <c r="G177" s="97" t="s">
        <v>48</v>
      </c>
      <c r="H177" s="42" t="s">
        <v>66</v>
      </c>
      <c r="I177" s="97" t="s">
        <v>53</v>
      </c>
      <c r="J177" s="99">
        <v>43684</v>
      </c>
    </row>
    <row r="178" spans="2:10" ht="30" customHeight="1" x14ac:dyDescent="0.35">
      <c r="B178" s="94">
        <v>61</v>
      </c>
      <c r="C178" s="95">
        <v>43698</v>
      </c>
      <c r="D178" s="96" t="s">
        <v>51</v>
      </c>
      <c r="E178" s="97" t="s">
        <v>109</v>
      </c>
      <c r="F178" s="98">
        <v>694</v>
      </c>
      <c r="G178" s="97" t="s">
        <v>71</v>
      </c>
      <c r="H178" s="97" t="s">
        <v>115</v>
      </c>
      <c r="I178" s="97" t="s">
        <v>53</v>
      </c>
      <c r="J178" s="99">
        <v>43698</v>
      </c>
    </row>
    <row r="179" spans="2:10" ht="30" customHeight="1" x14ac:dyDescent="0.35">
      <c r="B179" s="100">
        <v>61</v>
      </c>
      <c r="C179" s="101">
        <v>43698</v>
      </c>
      <c r="D179" s="41" t="s">
        <v>51</v>
      </c>
      <c r="E179" s="103" t="s">
        <v>109</v>
      </c>
      <c r="F179" s="104">
        <v>3000</v>
      </c>
      <c r="G179" s="103" t="s">
        <v>72</v>
      </c>
      <c r="H179" s="103" t="s">
        <v>110</v>
      </c>
      <c r="I179" s="103" t="s">
        <v>49</v>
      </c>
      <c r="J179" s="105">
        <v>43698</v>
      </c>
    </row>
    <row r="180" spans="2:10" ht="30" customHeight="1" x14ac:dyDescent="0.35">
      <c r="B180" s="94">
        <v>64</v>
      </c>
      <c r="C180" s="95">
        <v>43693</v>
      </c>
      <c r="D180" s="96" t="s">
        <v>12</v>
      </c>
      <c r="E180" s="97" t="s">
        <v>109</v>
      </c>
      <c r="F180" s="98">
        <v>1015</v>
      </c>
      <c r="G180" s="97" t="s">
        <v>48</v>
      </c>
      <c r="H180" s="42" t="s">
        <v>64</v>
      </c>
      <c r="I180" s="97" t="s">
        <v>49</v>
      </c>
      <c r="J180" s="99">
        <v>43693</v>
      </c>
    </row>
    <row r="181" spans="2:10" ht="30" customHeight="1" x14ac:dyDescent="0.35">
      <c r="B181" s="94">
        <v>64</v>
      </c>
      <c r="C181" s="95">
        <v>43698</v>
      </c>
      <c r="D181" s="96" t="s">
        <v>12</v>
      </c>
      <c r="E181" s="97" t="s">
        <v>109</v>
      </c>
      <c r="F181" s="98">
        <v>340</v>
      </c>
      <c r="G181" s="97" t="s">
        <v>48</v>
      </c>
      <c r="H181" s="42" t="s">
        <v>64</v>
      </c>
      <c r="I181" s="97" t="s">
        <v>49</v>
      </c>
      <c r="J181" s="99">
        <v>43698</v>
      </c>
    </row>
    <row r="182" spans="2:10" ht="30" customHeight="1" x14ac:dyDescent="0.35">
      <c r="B182" s="100">
        <v>64</v>
      </c>
      <c r="C182" s="101">
        <v>43700</v>
      </c>
      <c r="D182" s="102" t="s">
        <v>12</v>
      </c>
      <c r="E182" s="103" t="s">
        <v>109</v>
      </c>
      <c r="F182" s="104">
        <v>301.60000000000002</v>
      </c>
      <c r="G182" s="103" t="s">
        <v>48</v>
      </c>
      <c r="H182" s="42" t="s">
        <v>64</v>
      </c>
      <c r="I182" s="103" t="s">
        <v>49</v>
      </c>
      <c r="J182" s="105">
        <v>43700</v>
      </c>
    </row>
    <row r="183" spans="2:10" ht="30" customHeight="1" x14ac:dyDescent="0.35">
      <c r="B183" s="94">
        <v>99</v>
      </c>
      <c r="C183" s="95">
        <v>43679</v>
      </c>
      <c r="D183" s="41" t="s">
        <v>51</v>
      </c>
      <c r="E183" s="97" t="s">
        <v>109</v>
      </c>
      <c r="F183" s="98">
        <v>5846.4</v>
      </c>
      <c r="G183" s="93" t="s">
        <v>72</v>
      </c>
      <c r="H183" s="97" t="s">
        <v>111</v>
      </c>
      <c r="I183" s="97" t="s">
        <v>49</v>
      </c>
      <c r="J183" s="99">
        <v>43679</v>
      </c>
    </row>
    <row r="184" spans="2:10" ht="30" customHeight="1" x14ac:dyDescent="0.35">
      <c r="B184" s="94">
        <v>99</v>
      </c>
      <c r="C184" s="95">
        <v>43682</v>
      </c>
      <c r="D184" s="41" t="s">
        <v>51</v>
      </c>
      <c r="E184" s="97" t="s">
        <v>109</v>
      </c>
      <c r="F184" s="98">
        <v>9678.5299999999988</v>
      </c>
      <c r="G184" s="97" t="s">
        <v>70</v>
      </c>
      <c r="H184" s="97" t="s">
        <v>52</v>
      </c>
      <c r="I184" s="97" t="s">
        <v>53</v>
      </c>
      <c r="J184" s="99">
        <v>43682</v>
      </c>
    </row>
    <row r="185" spans="2:10" ht="30" customHeight="1" x14ac:dyDescent="0.35">
      <c r="B185" s="94">
        <v>99</v>
      </c>
      <c r="C185" s="95">
        <v>43685</v>
      </c>
      <c r="D185" s="41" t="s">
        <v>51</v>
      </c>
      <c r="E185" s="97" t="s">
        <v>109</v>
      </c>
      <c r="F185" s="98">
        <v>7412.4</v>
      </c>
      <c r="G185" s="93" t="s">
        <v>72</v>
      </c>
      <c r="H185" s="97" t="s">
        <v>79</v>
      </c>
      <c r="I185" s="97" t="s">
        <v>49</v>
      </c>
      <c r="J185" s="99">
        <v>43685</v>
      </c>
    </row>
    <row r="186" spans="2:10" ht="30" customHeight="1" x14ac:dyDescent="0.35">
      <c r="B186" s="94">
        <v>99</v>
      </c>
      <c r="C186" s="95">
        <v>43691</v>
      </c>
      <c r="D186" s="41" t="s">
        <v>51</v>
      </c>
      <c r="E186" s="97" t="s">
        <v>109</v>
      </c>
      <c r="F186" s="98">
        <v>2680</v>
      </c>
      <c r="G186" s="97" t="s">
        <v>70</v>
      </c>
      <c r="H186" s="97" t="s">
        <v>52</v>
      </c>
      <c r="I186" s="97" t="s">
        <v>53</v>
      </c>
      <c r="J186" s="99">
        <v>43691</v>
      </c>
    </row>
    <row r="187" spans="2:10" ht="30" customHeight="1" x14ac:dyDescent="0.35">
      <c r="B187" s="94">
        <v>99</v>
      </c>
      <c r="C187" s="95">
        <v>43693</v>
      </c>
      <c r="D187" s="41" t="s">
        <v>51</v>
      </c>
      <c r="E187" s="97" t="s">
        <v>109</v>
      </c>
      <c r="F187" s="98">
        <v>7464.6</v>
      </c>
      <c r="G187" s="93" t="s">
        <v>72</v>
      </c>
      <c r="H187" s="97" t="s">
        <v>84</v>
      </c>
      <c r="I187" s="97" t="s">
        <v>49</v>
      </c>
      <c r="J187" s="99">
        <v>43693</v>
      </c>
    </row>
    <row r="188" spans="2:10" ht="30" customHeight="1" x14ac:dyDescent="0.35">
      <c r="B188" s="94">
        <v>99</v>
      </c>
      <c r="C188" s="95">
        <v>43696</v>
      </c>
      <c r="D188" s="41" t="s">
        <v>51</v>
      </c>
      <c r="E188" s="97" t="s">
        <v>109</v>
      </c>
      <c r="F188" s="98">
        <v>8368.4699999999993</v>
      </c>
      <c r="G188" s="97" t="s">
        <v>70</v>
      </c>
      <c r="H188" s="97" t="s">
        <v>52</v>
      </c>
      <c r="I188" s="97" t="s">
        <v>49</v>
      </c>
      <c r="J188" s="99">
        <v>43696</v>
      </c>
    </row>
    <row r="189" spans="2:10" ht="30" customHeight="1" x14ac:dyDescent="0.35">
      <c r="B189" s="94">
        <v>99</v>
      </c>
      <c r="C189" s="95">
        <v>43698</v>
      </c>
      <c r="D189" s="41" t="s">
        <v>51</v>
      </c>
      <c r="E189" s="97" t="s">
        <v>109</v>
      </c>
      <c r="F189" s="98">
        <v>9211.42</v>
      </c>
      <c r="G189" s="97" t="s">
        <v>70</v>
      </c>
      <c r="H189" s="97" t="s">
        <v>52</v>
      </c>
      <c r="I189" s="97" t="s">
        <v>49</v>
      </c>
      <c r="J189" s="99">
        <v>43698</v>
      </c>
    </row>
    <row r="190" spans="2:10" ht="30" customHeight="1" x14ac:dyDescent="0.35">
      <c r="B190" s="94">
        <v>99</v>
      </c>
      <c r="C190" s="95">
        <v>43700</v>
      </c>
      <c r="D190" s="41" t="s">
        <v>51</v>
      </c>
      <c r="E190" s="97" t="s">
        <v>109</v>
      </c>
      <c r="F190" s="98">
        <v>8821.7999999999993</v>
      </c>
      <c r="G190" s="93" t="s">
        <v>72</v>
      </c>
      <c r="H190" s="97" t="s">
        <v>116</v>
      </c>
      <c r="I190" s="97" t="s">
        <v>49</v>
      </c>
      <c r="J190" s="99">
        <v>43700</v>
      </c>
    </row>
    <row r="191" spans="2:10" ht="30" customHeight="1" x14ac:dyDescent="0.35">
      <c r="B191" s="100">
        <v>99</v>
      </c>
      <c r="C191" s="101">
        <v>43707</v>
      </c>
      <c r="D191" s="41" t="s">
        <v>51</v>
      </c>
      <c r="E191" s="103" t="s">
        <v>109</v>
      </c>
      <c r="F191" s="104">
        <v>8038.8</v>
      </c>
      <c r="G191" s="93" t="s">
        <v>72</v>
      </c>
      <c r="H191" s="97" t="s">
        <v>87</v>
      </c>
      <c r="I191" s="97" t="s">
        <v>49</v>
      </c>
      <c r="J191" s="105">
        <v>43707</v>
      </c>
    </row>
    <row r="192" spans="2:10" ht="30" customHeight="1" x14ac:dyDescent="0.35">
      <c r="B192" s="94">
        <v>61</v>
      </c>
      <c r="C192" s="95">
        <v>43711</v>
      </c>
      <c r="D192" s="41" t="s">
        <v>51</v>
      </c>
      <c r="E192" s="97" t="s">
        <v>109</v>
      </c>
      <c r="F192" s="98">
        <v>12992</v>
      </c>
      <c r="G192" s="97" t="s">
        <v>72</v>
      </c>
      <c r="H192" s="97" t="s">
        <v>117</v>
      </c>
      <c r="I192" s="97" t="s">
        <v>49</v>
      </c>
      <c r="J192" s="99">
        <v>43711</v>
      </c>
    </row>
    <row r="193" spans="2:10" ht="30" customHeight="1" x14ac:dyDescent="0.35">
      <c r="B193" s="94">
        <v>61</v>
      </c>
      <c r="C193" s="95">
        <v>43712</v>
      </c>
      <c r="D193" s="96" t="s">
        <v>13</v>
      </c>
      <c r="E193" s="97" t="s">
        <v>109</v>
      </c>
      <c r="F193" s="98">
        <v>4000</v>
      </c>
      <c r="G193" s="97" t="s">
        <v>48</v>
      </c>
      <c r="H193" s="42" t="s">
        <v>66</v>
      </c>
      <c r="I193" s="97" t="s">
        <v>39</v>
      </c>
      <c r="J193" s="99">
        <v>43712</v>
      </c>
    </row>
    <row r="194" spans="2:10" ht="30" customHeight="1" x14ac:dyDescent="0.35">
      <c r="B194" s="94">
        <v>61</v>
      </c>
      <c r="C194" s="95">
        <v>43713</v>
      </c>
      <c r="D194" s="41" t="s">
        <v>51</v>
      </c>
      <c r="E194" s="97" t="s">
        <v>109</v>
      </c>
      <c r="F194" s="98">
        <v>3000</v>
      </c>
      <c r="G194" s="97" t="s">
        <v>72</v>
      </c>
      <c r="H194" s="97" t="s">
        <v>110</v>
      </c>
      <c r="I194" s="97" t="s">
        <v>49</v>
      </c>
      <c r="J194" s="99">
        <v>43713</v>
      </c>
    </row>
    <row r="195" spans="2:10" ht="30" customHeight="1" x14ac:dyDescent="0.35">
      <c r="B195" s="100">
        <v>61</v>
      </c>
      <c r="C195" s="101">
        <v>43714</v>
      </c>
      <c r="D195" s="41" t="s">
        <v>51</v>
      </c>
      <c r="E195" s="103" t="s">
        <v>109</v>
      </c>
      <c r="F195" s="104">
        <v>1160</v>
      </c>
      <c r="G195" s="103" t="s">
        <v>72</v>
      </c>
      <c r="H195" s="103" t="s">
        <v>117</v>
      </c>
      <c r="I195" s="97" t="s">
        <v>53</v>
      </c>
      <c r="J195" s="105">
        <v>43714</v>
      </c>
    </row>
    <row r="196" spans="2:10" ht="30" customHeight="1" x14ac:dyDescent="0.35">
      <c r="B196" s="94">
        <v>64</v>
      </c>
      <c r="C196" s="95">
        <v>43714</v>
      </c>
      <c r="D196" s="41" t="s">
        <v>51</v>
      </c>
      <c r="E196" s="97" t="s">
        <v>109</v>
      </c>
      <c r="F196" s="98">
        <v>835.2</v>
      </c>
      <c r="G196" s="97" t="s">
        <v>48</v>
      </c>
      <c r="H196" s="97" t="s">
        <v>64</v>
      </c>
      <c r="I196" s="97" t="s">
        <v>49</v>
      </c>
      <c r="J196" s="99">
        <v>43714</v>
      </c>
    </row>
    <row r="197" spans="2:10" ht="30" customHeight="1" x14ac:dyDescent="0.35">
      <c r="B197" s="94">
        <v>64</v>
      </c>
      <c r="C197" s="95">
        <v>43725</v>
      </c>
      <c r="D197" s="41" t="s">
        <v>51</v>
      </c>
      <c r="E197" s="97" t="s">
        <v>109</v>
      </c>
      <c r="F197" s="98">
        <v>1624</v>
      </c>
      <c r="G197" s="97" t="s">
        <v>48</v>
      </c>
      <c r="H197" s="97" t="s">
        <v>64</v>
      </c>
      <c r="I197" s="97" t="s">
        <v>49</v>
      </c>
      <c r="J197" s="99">
        <v>43725</v>
      </c>
    </row>
    <row r="198" spans="2:10" ht="30" customHeight="1" x14ac:dyDescent="0.35">
      <c r="B198" s="94">
        <v>64</v>
      </c>
      <c r="C198" s="95">
        <v>43725</v>
      </c>
      <c r="D198" s="41" t="s">
        <v>51</v>
      </c>
      <c r="E198" s="97" t="s">
        <v>109</v>
      </c>
      <c r="F198" s="98">
        <v>904.8</v>
      </c>
      <c r="G198" s="97" t="s">
        <v>48</v>
      </c>
      <c r="H198" s="97" t="s">
        <v>64</v>
      </c>
      <c r="I198" s="97" t="s">
        <v>49</v>
      </c>
      <c r="J198" s="99">
        <v>43725</v>
      </c>
    </row>
    <row r="199" spans="2:10" ht="30" customHeight="1" x14ac:dyDescent="0.35">
      <c r="B199" s="94">
        <v>64</v>
      </c>
      <c r="C199" s="95">
        <v>43725</v>
      </c>
      <c r="D199" s="41" t="s">
        <v>51</v>
      </c>
      <c r="E199" s="97" t="s">
        <v>109</v>
      </c>
      <c r="F199" s="98">
        <v>835</v>
      </c>
      <c r="G199" s="97" t="s">
        <v>48</v>
      </c>
      <c r="H199" s="97" t="s">
        <v>64</v>
      </c>
      <c r="I199" s="97" t="s">
        <v>49</v>
      </c>
      <c r="J199" s="99">
        <v>43725</v>
      </c>
    </row>
    <row r="200" spans="2:10" ht="30" customHeight="1" x14ac:dyDescent="0.35">
      <c r="B200" s="94">
        <v>64</v>
      </c>
      <c r="C200" s="95">
        <v>43728</v>
      </c>
      <c r="D200" s="41" t="s">
        <v>51</v>
      </c>
      <c r="E200" s="97" t="s">
        <v>109</v>
      </c>
      <c r="F200" s="98">
        <v>783</v>
      </c>
      <c r="G200" s="97" t="s">
        <v>48</v>
      </c>
      <c r="H200" s="97" t="s">
        <v>64</v>
      </c>
      <c r="I200" s="97" t="s">
        <v>49</v>
      </c>
      <c r="J200" s="99">
        <v>43728</v>
      </c>
    </row>
    <row r="201" spans="2:10" ht="30" customHeight="1" x14ac:dyDescent="0.35">
      <c r="B201" s="100">
        <v>64</v>
      </c>
      <c r="C201" s="101">
        <v>43735</v>
      </c>
      <c r="D201" s="41" t="s">
        <v>51</v>
      </c>
      <c r="E201" s="103" t="s">
        <v>109</v>
      </c>
      <c r="F201" s="104">
        <v>1357.2</v>
      </c>
      <c r="G201" s="103" t="s">
        <v>48</v>
      </c>
      <c r="H201" s="103" t="s">
        <v>64</v>
      </c>
      <c r="I201" s="97" t="s">
        <v>49</v>
      </c>
      <c r="J201" s="105">
        <v>43735</v>
      </c>
    </row>
    <row r="202" spans="2:10" ht="30" customHeight="1" x14ac:dyDescent="0.35">
      <c r="B202" s="94">
        <v>99</v>
      </c>
      <c r="C202" s="95">
        <v>43714</v>
      </c>
      <c r="D202" s="41" t="s">
        <v>51</v>
      </c>
      <c r="E202" s="97" t="s">
        <v>109</v>
      </c>
      <c r="F202" s="98">
        <v>7203.6</v>
      </c>
      <c r="G202" s="97" t="s">
        <v>69</v>
      </c>
      <c r="H202" s="97" t="s">
        <v>118</v>
      </c>
      <c r="I202" s="97" t="s">
        <v>49</v>
      </c>
      <c r="J202" s="99">
        <v>43714</v>
      </c>
    </row>
    <row r="203" spans="2:10" ht="30" customHeight="1" x14ac:dyDescent="0.35">
      <c r="B203" s="94">
        <v>99</v>
      </c>
      <c r="C203" s="95">
        <v>43725</v>
      </c>
      <c r="D203" s="41" t="s">
        <v>51</v>
      </c>
      <c r="E203" s="97" t="s">
        <v>109</v>
      </c>
      <c r="F203" s="98">
        <v>9873.89</v>
      </c>
      <c r="G203" s="97" t="s">
        <v>70</v>
      </c>
      <c r="H203" s="97" t="s">
        <v>52</v>
      </c>
      <c r="I203" s="97" t="s">
        <v>53</v>
      </c>
      <c r="J203" s="99">
        <v>43725</v>
      </c>
    </row>
    <row r="204" spans="2:10" ht="30" customHeight="1" x14ac:dyDescent="0.35">
      <c r="B204" s="94">
        <v>99</v>
      </c>
      <c r="C204" s="95">
        <v>43725</v>
      </c>
      <c r="D204" s="41" t="s">
        <v>51</v>
      </c>
      <c r="E204" s="97" t="s">
        <v>109</v>
      </c>
      <c r="F204" s="98">
        <v>7203.6</v>
      </c>
      <c r="G204" s="97" t="s">
        <v>69</v>
      </c>
      <c r="H204" s="97" t="s">
        <v>118</v>
      </c>
      <c r="I204" s="97" t="s">
        <v>49</v>
      </c>
      <c r="J204" s="99">
        <v>43725</v>
      </c>
    </row>
    <row r="205" spans="2:10" ht="30" customHeight="1" x14ac:dyDescent="0.35">
      <c r="B205" s="94">
        <v>99</v>
      </c>
      <c r="C205" s="95">
        <v>43725</v>
      </c>
      <c r="D205" s="41" t="s">
        <v>51</v>
      </c>
      <c r="E205" s="97" t="s">
        <v>109</v>
      </c>
      <c r="F205" s="98">
        <v>7412.4</v>
      </c>
      <c r="G205" s="97" t="s">
        <v>69</v>
      </c>
      <c r="H205" s="97" t="s">
        <v>79</v>
      </c>
      <c r="I205" s="97" t="s">
        <v>49</v>
      </c>
      <c r="J205" s="99">
        <v>43725</v>
      </c>
    </row>
    <row r="206" spans="2:10" ht="30" customHeight="1" x14ac:dyDescent="0.35">
      <c r="B206" s="94">
        <v>99</v>
      </c>
      <c r="C206" s="95">
        <v>43728</v>
      </c>
      <c r="D206" s="41" t="s">
        <v>51</v>
      </c>
      <c r="E206" s="97" t="s">
        <v>109</v>
      </c>
      <c r="F206" s="98">
        <v>5802.9</v>
      </c>
      <c r="G206" s="97" t="s">
        <v>69</v>
      </c>
      <c r="H206" s="97" t="s">
        <v>119</v>
      </c>
      <c r="I206" s="97" t="s">
        <v>49</v>
      </c>
      <c r="J206" s="99">
        <v>43728</v>
      </c>
    </row>
    <row r="207" spans="2:10" ht="30" customHeight="1" x14ac:dyDescent="0.35">
      <c r="B207" s="94">
        <v>99</v>
      </c>
      <c r="C207" s="95">
        <v>43735</v>
      </c>
      <c r="D207" s="41" t="s">
        <v>51</v>
      </c>
      <c r="E207" s="97" t="s">
        <v>109</v>
      </c>
      <c r="F207" s="98">
        <v>7394.4</v>
      </c>
      <c r="G207" s="97" t="s">
        <v>69</v>
      </c>
      <c r="H207" s="97" t="s">
        <v>79</v>
      </c>
      <c r="I207" s="97" t="s">
        <v>49</v>
      </c>
      <c r="J207" s="99">
        <v>43735</v>
      </c>
    </row>
    <row r="208" spans="2:10" ht="30" customHeight="1" x14ac:dyDescent="0.35">
      <c r="B208" s="94">
        <v>99</v>
      </c>
      <c r="C208" s="95">
        <v>43735</v>
      </c>
      <c r="D208" s="41" t="s">
        <v>51</v>
      </c>
      <c r="E208" s="97" t="s">
        <v>109</v>
      </c>
      <c r="F208" s="98">
        <v>730.8</v>
      </c>
      <c r="G208" s="97" t="s">
        <v>69</v>
      </c>
      <c r="H208" s="97" t="s">
        <v>120</v>
      </c>
      <c r="I208" s="97" t="s">
        <v>49</v>
      </c>
      <c r="J208" s="99">
        <v>43735</v>
      </c>
    </row>
    <row r="209" spans="2:10" ht="30" customHeight="1" x14ac:dyDescent="0.35">
      <c r="B209" s="94">
        <v>99</v>
      </c>
      <c r="C209" s="95">
        <v>43738</v>
      </c>
      <c r="D209" s="41" t="s">
        <v>51</v>
      </c>
      <c r="E209" s="97" t="s">
        <v>109</v>
      </c>
      <c r="F209" s="98">
        <v>6973.92</v>
      </c>
      <c r="G209" s="97" t="s">
        <v>70</v>
      </c>
      <c r="H209" s="97" t="s">
        <v>52</v>
      </c>
      <c r="I209" s="97" t="s">
        <v>49</v>
      </c>
      <c r="J209" s="99">
        <v>43738</v>
      </c>
    </row>
    <row r="210" spans="2:10" ht="30" customHeight="1" x14ac:dyDescent="0.35">
      <c r="B210" s="100">
        <v>99</v>
      </c>
      <c r="C210" s="101">
        <v>43738</v>
      </c>
      <c r="D210" s="41" t="s">
        <v>51</v>
      </c>
      <c r="E210" s="103" t="s">
        <v>109</v>
      </c>
      <c r="F210" s="104">
        <v>569.39</v>
      </c>
      <c r="G210" s="103" t="s">
        <v>70</v>
      </c>
      <c r="H210" s="97" t="s">
        <v>52</v>
      </c>
      <c r="I210" s="103" t="s">
        <v>53</v>
      </c>
      <c r="J210" s="105">
        <v>43738</v>
      </c>
    </row>
  </sheetData>
  <mergeCells count="3">
    <mergeCell ref="B3:F3"/>
    <mergeCell ref="G3:J3"/>
    <mergeCell ref="B2:J2"/>
  </mergeCells>
  <dataValidations count="12">
    <dataValidation allowBlank="1" showErrorMessage="1" prompt="Escriba el código de contabilidad en esta columna bajo este encabezado" sqref="B4"/>
    <dataValidation allowBlank="1" showErrorMessage="1" prompt="Escriba la fecha de facturación en la columna con este encabezado" sqref="C4"/>
    <dataValidation allowBlank="1" showErrorMessage="1" prompt="Escriba el número de la factura en la columna con este encabezado" sqref="D4"/>
    <dataValidation allowBlank="1" showErrorMessage="1" prompt="Escriba el nombre del solicitante en la columna con este encabezado" sqref="E4"/>
    <dataValidation allowBlank="1" showErrorMessage="1" prompt="Escriba el importe del cheque en la columna con este encabezado" sqref="F4"/>
    <dataValidation allowBlank="1" showErrorMessage="1" prompt="Escriba el nombre del beneficiario en la columna con este encabezado" sqref="G4"/>
    <dataValidation allowBlank="1" showErrorMessage="1" prompt="Escriba el propósito del cheque en la columna con este encabezado" sqref="H4"/>
    <dataValidation allowBlank="1" showErrorMessage="1" prompt="Escriba el método de distribución en la columna con este encabezado" sqref="I4"/>
    <dataValidation allowBlank="1" showErrorMessage="1" prompt="Escriba la fecha del archivo en la columna con este encabezado" sqref="J4"/>
    <dataValidation allowBlank="1" showErrorMessage="1" prompt="El título de esta hoja de cálculo se encuentra en esta celda. La segmentación para filtrar la tabla por el título de la cuenta está en la celda B3. No elimine las fórmulas en las celdas G3 a O4" sqref="B2:J2"/>
    <dataValidation allowBlank="1" showInputMessage="1" showErrorMessage="1" prompt="Vínculo de navegación. Seleccione para ir al RESUMEN DE GASTOS MENSUALES" sqref="B1"/>
    <dataValidation allowBlank="1" showInputMessage="1" showErrorMessage="1" prompt="El vínculo de navegación se encuentra en esta celda. Seleccione esta opción para ir a la hoja de cálculo de Gastos detallados" sqref="C1"/>
  </dataValidations>
  <printOptions horizontalCentered="1"/>
  <pageMargins left="0.4" right="0.4" top="0.4" bottom="0.6" header="0.3" footer="0.3"/>
  <pageSetup paperSize="9" scale="80"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P16"/>
  <sheetViews>
    <sheetView workbookViewId="0">
      <selection activeCell="H22" sqref="H22"/>
    </sheetView>
  </sheetViews>
  <sheetFormatPr baseColWidth="10" defaultColWidth="11" defaultRowHeight="16.5" x14ac:dyDescent="0.3"/>
  <cols>
    <col min="1" max="1" width="2.125" style="45" customWidth="1"/>
    <col min="2" max="2" width="17.625" style="45" customWidth="1"/>
    <col min="3" max="3" width="28" style="45" bestFit="1" customWidth="1"/>
    <col min="4" max="15" width="12.625" style="45" customWidth="1"/>
    <col min="16" max="16" width="15" style="45" customWidth="1"/>
    <col min="17" max="16384" width="11" style="45"/>
  </cols>
  <sheetData>
    <row r="1" spans="1:16" customFormat="1" ht="42.6" customHeight="1" x14ac:dyDescent="0.3">
      <c r="A1" s="45"/>
    </row>
    <row r="2" spans="1:16" customFormat="1" ht="12" customHeight="1" x14ac:dyDescent="0.3">
      <c r="B2" s="45"/>
      <c r="C2" s="90" t="s">
        <v>99</v>
      </c>
      <c r="D2" s="90"/>
      <c r="E2" s="90"/>
      <c r="F2" s="90"/>
      <c r="G2" s="90"/>
      <c r="H2" s="90"/>
      <c r="I2" s="90"/>
      <c r="J2" s="90"/>
      <c r="K2" s="90"/>
      <c r="L2" s="90"/>
      <c r="M2" s="90"/>
      <c r="N2" s="90"/>
      <c r="O2" s="90"/>
      <c r="P2" s="90"/>
    </row>
    <row r="3" spans="1:16" customFormat="1" ht="12" customHeight="1" x14ac:dyDescent="0.3">
      <c r="B3" s="45"/>
      <c r="C3" s="90"/>
      <c r="D3" s="90"/>
      <c r="E3" s="90"/>
      <c r="F3" s="90"/>
      <c r="G3" s="90"/>
      <c r="H3" s="90"/>
      <c r="I3" s="90"/>
      <c r="J3" s="90"/>
      <c r="K3" s="90"/>
      <c r="L3" s="90"/>
      <c r="M3" s="90"/>
      <c r="N3" s="90"/>
      <c r="O3" s="90"/>
      <c r="P3" s="90"/>
    </row>
    <row r="4" spans="1:16" customFormat="1" ht="12" customHeight="1" x14ac:dyDescent="0.3">
      <c r="B4" s="45"/>
      <c r="C4" s="90"/>
      <c r="D4" s="90"/>
      <c r="E4" s="90"/>
      <c r="F4" s="90"/>
      <c r="G4" s="90"/>
      <c r="H4" s="90"/>
      <c r="I4" s="90"/>
      <c r="J4" s="90"/>
      <c r="K4" s="90"/>
      <c r="L4" s="90"/>
      <c r="M4" s="90"/>
      <c r="N4" s="90"/>
      <c r="O4" s="90"/>
      <c r="P4" s="90"/>
    </row>
    <row r="5" spans="1:16" customFormat="1" ht="12" customHeight="1" x14ac:dyDescent="0.3">
      <c r="B5" s="45"/>
      <c r="C5" s="90"/>
      <c r="D5" s="90"/>
      <c r="E5" s="90"/>
      <c r="F5" s="90"/>
      <c r="G5" s="90"/>
      <c r="H5" s="90"/>
      <c r="I5" s="90"/>
      <c r="J5" s="90"/>
      <c r="K5" s="90"/>
      <c r="L5" s="90"/>
      <c r="M5" s="90"/>
      <c r="N5" s="90"/>
      <c r="O5" s="90"/>
      <c r="P5" s="90"/>
    </row>
    <row r="7" spans="1:16" x14ac:dyDescent="0.3">
      <c r="D7" s="89">
        <v>2019</v>
      </c>
      <c r="E7" s="89"/>
      <c r="F7" s="89"/>
      <c r="G7" s="89"/>
      <c r="H7" s="89"/>
      <c r="I7" s="89"/>
      <c r="J7" s="89"/>
      <c r="K7" s="89"/>
      <c r="L7" s="89"/>
      <c r="M7" s="89"/>
      <c r="N7" s="89"/>
      <c r="O7" s="89"/>
    </row>
    <row r="8" spans="1:16" x14ac:dyDescent="0.3">
      <c r="D8" s="76">
        <v>43483</v>
      </c>
      <c r="E8" s="76">
        <v>43535</v>
      </c>
      <c r="F8" s="76">
        <v>43535</v>
      </c>
      <c r="G8" s="76">
        <v>43587</v>
      </c>
      <c r="H8" s="76">
        <v>43587</v>
      </c>
      <c r="I8" s="76">
        <v>43644</v>
      </c>
      <c r="J8" s="76">
        <v>43655</v>
      </c>
      <c r="K8" s="76">
        <v>43683</v>
      </c>
      <c r="L8" s="76">
        <v>43727</v>
      </c>
      <c r="M8" s="72"/>
      <c r="N8" s="72"/>
      <c r="O8" s="72"/>
    </row>
    <row r="9" spans="1:16" ht="58.5" x14ac:dyDescent="0.3">
      <c r="B9" s="77" t="s">
        <v>104</v>
      </c>
      <c r="C9" s="78" t="s">
        <v>106</v>
      </c>
      <c r="D9" s="78" t="s">
        <v>5</v>
      </c>
      <c r="E9" s="78" t="s">
        <v>6</v>
      </c>
      <c r="F9" s="78" t="s">
        <v>7</v>
      </c>
      <c r="G9" s="78" t="s">
        <v>8</v>
      </c>
      <c r="H9" s="78" t="s">
        <v>9</v>
      </c>
      <c r="I9" s="78" t="s">
        <v>10</v>
      </c>
      <c r="J9" s="78" t="s">
        <v>11</v>
      </c>
      <c r="K9" s="78" t="s">
        <v>12</v>
      </c>
      <c r="L9" s="78" t="s">
        <v>13</v>
      </c>
      <c r="M9" s="78" t="s">
        <v>14</v>
      </c>
      <c r="N9" s="78" t="s">
        <v>15</v>
      </c>
      <c r="O9" s="78" t="s">
        <v>16</v>
      </c>
      <c r="P9" s="78" t="s">
        <v>61</v>
      </c>
    </row>
    <row r="10" spans="1:16" x14ac:dyDescent="0.3">
      <c r="B10" s="48">
        <v>61</v>
      </c>
      <c r="C10" s="46" t="s">
        <v>40</v>
      </c>
      <c r="D10" s="47">
        <v>10020</v>
      </c>
      <c r="E10" s="47">
        <f>11215.39</f>
        <v>11215.39</v>
      </c>
      <c r="F10" s="47">
        <v>11215.39</v>
      </c>
      <c r="G10" s="47">
        <v>11215.39</v>
      </c>
      <c r="H10" s="47">
        <v>11215.39</v>
      </c>
      <c r="I10" s="47">
        <v>11215.39</v>
      </c>
      <c r="J10" s="47">
        <v>11215.39</v>
      </c>
      <c r="K10" s="47">
        <v>11215.39</v>
      </c>
      <c r="L10" s="47">
        <v>11215.39</v>
      </c>
      <c r="M10" s="47">
        <v>0</v>
      </c>
      <c r="N10" s="47">
        <v>0</v>
      </c>
      <c r="O10" s="47">
        <v>0</v>
      </c>
      <c r="P10" s="50">
        <f>SUM(D10:O10)</f>
        <v>99743.12</v>
      </c>
    </row>
    <row r="11" spans="1:16" x14ac:dyDescent="0.3">
      <c r="B11" s="48">
        <v>64</v>
      </c>
      <c r="C11" s="46" t="s">
        <v>57</v>
      </c>
      <c r="D11" s="47">
        <v>10020</v>
      </c>
      <c r="E11" s="47">
        <v>11215.39</v>
      </c>
      <c r="F11" s="47">
        <v>11215.39</v>
      </c>
      <c r="G11" s="47">
        <v>11215.39</v>
      </c>
      <c r="H11" s="47">
        <v>11215.39</v>
      </c>
      <c r="I11" s="47">
        <v>11215.39</v>
      </c>
      <c r="J11" s="47">
        <v>11215.39</v>
      </c>
      <c r="K11" s="47">
        <v>11215.39</v>
      </c>
      <c r="L11" s="47">
        <v>11215.39</v>
      </c>
      <c r="M11" s="47">
        <v>0</v>
      </c>
      <c r="N11" s="47">
        <v>0</v>
      </c>
      <c r="O11" s="47">
        <v>0</v>
      </c>
      <c r="P11" s="50">
        <f t="shared" ref="P11:P15" si="0">SUM(D11:O11)</f>
        <v>99743.12</v>
      </c>
    </row>
    <row r="12" spans="1:16" x14ac:dyDescent="0.3">
      <c r="B12" s="48">
        <v>66</v>
      </c>
      <c r="C12" s="46" t="s">
        <v>41</v>
      </c>
      <c r="D12" s="47">
        <v>0</v>
      </c>
      <c r="E12" s="47">
        <v>0</v>
      </c>
      <c r="F12" s="47">
        <v>0</v>
      </c>
      <c r="G12" s="47">
        <v>0</v>
      </c>
      <c r="H12" s="47">
        <v>0</v>
      </c>
      <c r="I12" s="47">
        <v>0</v>
      </c>
      <c r="J12" s="47">
        <v>0</v>
      </c>
      <c r="K12" s="47">
        <v>0</v>
      </c>
      <c r="L12" s="47">
        <v>0</v>
      </c>
      <c r="M12" s="47">
        <v>0</v>
      </c>
      <c r="N12" s="47">
        <v>0</v>
      </c>
      <c r="O12" s="47">
        <v>0</v>
      </c>
      <c r="P12" s="50">
        <f t="shared" si="0"/>
        <v>0</v>
      </c>
    </row>
    <row r="13" spans="1:16" x14ac:dyDescent="0.3">
      <c r="B13" s="48">
        <v>99</v>
      </c>
      <c r="C13" s="46" t="s">
        <v>42</v>
      </c>
      <c r="D13" s="49">
        <v>50000</v>
      </c>
      <c r="E13" s="49">
        <v>65000</v>
      </c>
      <c r="F13" s="49">
        <v>65000</v>
      </c>
      <c r="G13" s="49">
        <v>65000</v>
      </c>
      <c r="H13" s="49">
        <v>65000</v>
      </c>
      <c r="I13" s="49">
        <v>65000</v>
      </c>
      <c r="J13" s="49">
        <v>65000</v>
      </c>
      <c r="K13" s="49">
        <v>65000</v>
      </c>
      <c r="L13" s="49">
        <v>65000</v>
      </c>
      <c r="M13" s="49">
        <v>0</v>
      </c>
      <c r="N13" s="49">
        <v>0</v>
      </c>
      <c r="O13" s="49">
        <v>0</v>
      </c>
      <c r="P13" s="50">
        <f t="shared" si="0"/>
        <v>570000</v>
      </c>
    </row>
    <row r="14" spans="1:16" x14ac:dyDescent="0.3">
      <c r="B14" s="48">
        <v>2</v>
      </c>
      <c r="C14" s="46" t="s">
        <v>43</v>
      </c>
      <c r="D14" s="49">
        <v>0</v>
      </c>
      <c r="E14" s="49">
        <v>0</v>
      </c>
      <c r="F14" s="49">
        <v>0</v>
      </c>
      <c r="G14" s="49">
        <v>0</v>
      </c>
      <c r="H14" s="49">
        <v>0</v>
      </c>
      <c r="I14" s="49">
        <v>0</v>
      </c>
      <c r="J14" s="49">
        <v>0</v>
      </c>
      <c r="K14" s="49">
        <v>33931.58</v>
      </c>
      <c r="L14" s="49">
        <v>0</v>
      </c>
      <c r="M14" s="49">
        <v>0</v>
      </c>
      <c r="N14" s="49">
        <v>0</v>
      </c>
      <c r="O14" s="49">
        <v>0</v>
      </c>
      <c r="P14" s="50">
        <f t="shared" si="0"/>
        <v>33931.58</v>
      </c>
    </row>
    <row r="15" spans="1:16" x14ac:dyDescent="0.3">
      <c r="B15" s="48">
        <v>96</v>
      </c>
      <c r="C15" s="46" t="s">
        <v>44</v>
      </c>
      <c r="D15" s="49">
        <v>0</v>
      </c>
      <c r="E15" s="49">
        <v>0</v>
      </c>
      <c r="F15" s="49">
        <v>0</v>
      </c>
      <c r="G15" s="49">
        <v>0</v>
      </c>
      <c r="H15" s="49">
        <v>0</v>
      </c>
      <c r="I15" s="49">
        <v>0</v>
      </c>
      <c r="J15" s="49">
        <v>0</v>
      </c>
      <c r="K15" s="49">
        <v>0</v>
      </c>
      <c r="L15" s="49">
        <v>0</v>
      </c>
      <c r="M15" s="49">
        <v>0</v>
      </c>
      <c r="N15" s="49">
        <v>0</v>
      </c>
      <c r="O15" s="49">
        <v>0</v>
      </c>
      <c r="P15" s="50">
        <f t="shared" si="0"/>
        <v>0</v>
      </c>
    </row>
    <row r="16" spans="1:16" x14ac:dyDescent="0.3">
      <c r="D16" s="51">
        <f>SUM(D10:D15)</f>
        <v>70040</v>
      </c>
      <c r="E16" s="51">
        <f>SUM(E10:E15)</f>
        <v>87430.78</v>
      </c>
      <c r="F16" s="51">
        <f>SUM(F10:F15)</f>
        <v>87430.78</v>
      </c>
      <c r="G16" s="52">
        <f t="shared" ref="G16:O16" si="1">SUM(G10:G15)</f>
        <v>87430.78</v>
      </c>
      <c r="H16" s="52">
        <f t="shared" si="1"/>
        <v>87430.78</v>
      </c>
      <c r="I16" s="51">
        <f t="shared" si="1"/>
        <v>87430.78</v>
      </c>
      <c r="J16" s="51">
        <f t="shared" si="1"/>
        <v>87430.78</v>
      </c>
      <c r="K16" s="51">
        <f t="shared" si="1"/>
        <v>121362.36</v>
      </c>
      <c r="L16" s="51">
        <f t="shared" si="1"/>
        <v>87430.78</v>
      </c>
      <c r="M16" s="51">
        <f t="shared" si="1"/>
        <v>0</v>
      </c>
      <c r="N16" s="51">
        <f t="shared" si="1"/>
        <v>0</v>
      </c>
      <c r="O16" s="51">
        <f t="shared" si="1"/>
        <v>0</v>
      </c>
      <c r="P16" s="51">
        <f>SUM(P10:P15)</f>
        <v>803417.82</v>
      </c>
    </row>
  </sheetData>
  <mergeCells count="2">
    <mergeCell ref="D7:O7"/>
    <mergeCell ref="C2:P5"/>
  </mergeCells>
  <dataValidations count="1">
    <dataValidation allowBlank="1" showInputMessage="1" showErrorMessage="1" prompt="Cree los gastos detallados en esta hoja de cálculo. Escriba los detalles en la tabla de Gastos detallados. Los vínculos de navegación en las celdas B1 y C1 llevan a las hoja de cálculo anterior y siguiente" sqref="A2:A5"/>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2F2F"/>
    <pageSetUpPr fitToPage="1"/>
  </sheetPr>
  <dimension ref="B1:L6"/>
  <sheetViews>
    <sheetView showGridLines="0" workbookViewId="0"/>
  </sheetViews>
  <sheetFormatPr baseColWidth="10" defaultColWidth="8.75" defaultRowHeight="30" customHeight="1" x14ac:dyDescent="0.35"/>
  <cols>
    <col min="1" max="1" width="2.625" customWidth="1"/>
    <col min="2" max="2" width="20.75" customWidth="1"/>
    <col min="3" max="3" width="19" customWidth="1"/>
    <col min="4" max="4" width="28.625" customWidth="1"/>
    <col min="5" max="5" width="17.37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C1" s="2"/>
    </row>
    <row r="2" spans="2:12" ht="87" customHeight="1" x14ac:dyDescent="0.35">
      <c r="B2" s="92" t="s">
        <v>25</v>
      </c>
      <c r="C2" s="92"/>
      <c r="D2" s="92"/>
      <c r="E2" s="92"/>
      <c r="F2" s="92"/>
      <c r="G2" s="92"/>
      <c r="H2" s="92"/>
      <c r="I2" s="92"/>
      <c r="J2" s="92"/>
      <c r="K2" s="92"/>
      <c r="L2" s="92"/>
    </row>
    <row r="3" spans="2:12" ht="75" customHeight="1" x14ac:dyDescent="0.35">
      <c r="B3" s="85"/>
      <c r="C3" s="85"/>
      <c r="D3" s="85"/>
      <c r="E3" s="85"/>
      <c r="F3" s="85"/>
      <c r="G3" s="91"/>
      <c r="H3" s="91"/>
      <c r="I3" s="91"/>
      <c r="J3" s="91"/>
      <c r="K3" s="91"/>
      <c r="L3" s="91"/>
    </row>
    <row r="4" spans="2:12" ht="46.15" customHeight="1" x14ac:dyDescent="0.35">
      <c r="B4" s="21" t="s">
        <v>0</v>
      </c>
      <c r="C4" s="22" t="s">
        <v>26</v>
      </c>
      <c r="D4" s="22" t="s">
        <v>20</v>
      </c>
      <c r="E4" s="22" t="s">
        <v>21</v>
      </c>
      <c r="F4" s="22" t="s">
        <v>28</v>
      </c>
      <c r="G4" s="22" t="s">
        <v>22</v>
      </c>
      <c r="H4" s="22" t="s">
        <v>31</v>
      </c>
      <c r="I4" s="22" t="s">
        <v>34</v>
      </c>
      <c r="J4" s="22" t="s">
        <v>37</v>
      </c>
      <c r="K4" s="22" t="s">
        <v>23</v>
      </c>
      <c r="L4" s="23" t="s">
        <v>24</v>
      </c>
    </row>
    <row r="5" spans="2:12" ht="46.15" customHeight="1" x14ac:dyDescent="0.35">
      <c r="B5" s="11">
        <v>12000</v>
      </c>
      <c r="C5" s="12" t="s">
        <v>18</v>
      </c>
      <c r="D5" s="13" t="s">
        <v>27</v>
      </c>
      <c r="E5" s="18">
        <v>1000</v>
      </c>
      <c r="F5" s="14">
        <v>12</v>
      </c>
      <c r="G5" s="13" t="s">
        <v>29</v>
      </c>
      <c r="H5" s="13" t="s">
        <v>32</v>
      </c>
      <c r="I5" s="13" t="s">
        <v>35</v>
      </c>
      <c r="J5" s="13" t="s">
        <v>38</v>
      </c>
      <c r="K5" s="13" t="s">
        <v>39</v>
      </c>
      <c r="L5" s="12" t="s">
        <v>18</v>
      </c>
    </row>
    <row r="6" spans="2:12" ht="46.15" customHeight="1" x14ac:dyDescent="0.35">
      <c r="B6" s="15">
        <v>11000</v>
      </c>
      <c r="C6" s="16" t="s">
        <v>18</v>
      </c>
      <c r="D6" s="17" t="s">
        <v>27</v>
      </c>
      <c r="E6" s="18">
        <v>2500</v>
      </c>
      <c r="F6" s="18">
        <v>0</v>
      </c>
      <c r="G6" s="17" t="s">
        <v>30</v>
      </c>
      <c r="H6" s="17" t="s">
        <v>33</v>
      </c>
      <c r="I6" s="17" t="s">
        <v>36</v>
      </c>
      <c r="J6" s="17" t="s">
        <v>33</v>
      </c>
      <c r="K6" s="17" t="s">
        <v>39</v>
      </c>
      <c r="L6" s="16" t="s">
        <v>18</v>
      </c>
    </row>
  </sheetData>
  <mergeCells count="3">
    <mergeCell ref="B3:F3"/>
    <mergeCell ref="G3:L3"/>
    <mergeCell ref="B2:L2"/>
  </mergeCells>
  <dataValidations count="14">
    <dataValidation allowBlank="1" showInputMessage="1" showErrorMessage="1" prompt="Crear una lista de Beneficencia y patrocinios en esta hoja de cálculo. Escriba los detalles en la tabla a partir de la celda B4 (la tabla &quot;Otros&quot;). Seleccione la celda B1 para ir a la hoja de cálculo de Gastos detallados" sqref="A1"/>
    <dataValidation allowBlank="1" showInputMessage="1" showErrorMessage="1" prompt="Escriba el código de contabilidad en esta columna bajo este encabezado" sqref="B4"/>
    <dataValidation allowBlank="1" showInputMessage="1" showErrorMessage="1" prompt="Especifique la fecha en que se inició la solicitud del cheque en la columna con este encabezado" sqref="C4"/>
    <dataValidation allowBlank="1" showInputMessage="1" showErrorMessage="1" prompt="Escriba el nombre del solicitante en la columna con este encabezado" sqref="D4"/>
    <dataValidation allowBlank="1" showInputMessage="1" showErrorMessage="1" prompt="Escriba el importe del cheque en la columna con este encabezado" sqref="E4"/>
    <dataValidation allowBlank="1" showInputMessage="1" showErrorMessage="1" prompt="Escriba la contribución de año anterior en la columna con este encabezado" sqref="F4"/>
    <dataValidation allowBlank="1" showInputMessage="1" showErrorMessage="1" prompt="Escriba el nombre del beneficiario en la columna con este encabezado" sqref="G4"/>
    <dataValidation allowBlank="1" showInputMessage="1" showErrorMessage="1" prompt="Escriba la finalidad del uso en la columna con este encabezado." sqref="H4"/>
    <dataValidation allowBlank="1" showInputMessage="1" showErrorMessage="1" prompt="Escriba el nombre de quién lo firma en la columna con este encabezado" sqref="I4"/>
    <dataValidation allowBlank="1" showInputMessage="1" showErrorMessage="1" prompt="Escriba la categoría en esta columna, debajo de este encabezado" sqref="J4"/>
    <dataValidation allowBlank="1" showInputMessage="1" showErrorMessage="1" prompt="Escriba el método de distribución en la columna con este encabezado" sqref="K4"/>
    <dataValidation allowBlank="1" showInputMessage="1" showErrorMessage="1" prompt="Escriba la fecha del archivo en la columna con este encabezado" sqref="L4"/>
    <dataValidation allowBlank="1" showInputMessage="1" showErrorMessage="1" prompt="Vínculo de navegación. Seleccione esta opción para ir a la hoja de cálculo de GASTOS DETALLADOS" sqref="B1"/>
    <dataValidation allowBlank="1" showInputMessage="1" showErrorMessage="1" prompt="El título de esta hoja de cálculo se encuentra en esta celda. La segmentación para filtrar la tabla por el solicitante está en la celda B3 y la segmentación para filtrar la tabla por el beneficiario está en la celda G3" sqref="B2:L2"/>
  </dataValidations>
  <printOptions horizontalCentered="1"/>
  <pageMargins left="0.4" right="0.4" top="0.4" bottom="0.6" header="0.3" footer="0.3"/>
  <pageSetup paperSize="9" scale="68"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5838834D-44CA-4B7A-B6B2-4CC9567B5E95}">
  <ds:schemaRefs>
    <ds:schemaRef ds:uri="http://schemas.microsoft.com/sharepoint/v3/contenttype/forms"/>
  </ds:schemaRefs>
</ds:datastoreItem>
</file>

<file path=customXml/itemProps2.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E015DD-ECC5-4D38-BDD9-6976DD0470AE}">
  <ds:schemaRefs>
    <ds:schemaRef ds:uri="http://purl.org/dc/terms/"/>
    <ds:schemaRef ds:uri="http://purl.org/dc/dcmitype/"/>
    <ds:schemaRef ds:uri="16c05727-aa75-4e4a-9b5f-8a80a1165891"/>
    <ds:schemaRef ds:uri="http://schemas.microsoft.com/office/infopath/2007/PartnerControls"/>
    <ds:schemaRef ds:uri="http://schemas.microsoft.com/office/2006/documentManagement/types"/>
    <ds:schemaRef ds:uri="71af3243-3dd4-4a8d-8c0d-dd76da1f02a5"/>
    <ds:schemaRef ds:uri="http://schemas.microsoft.com/office/2006/metadata/propertie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Avance del ejercicio</vt:lpstr>
      <vt:lpstr>Destino final de los recursos</vt:lpstr>
      <vt:lpstr>Fecha en la que se ejercen</vt:lpstr>
      <vt:lpstr>Fecha de recepción de recursos </vt:lpstr>
      <vt:lpstr>BENEFICENCIA Y PATROCINIOS</vt:lpstr>
      <vt:lpstr>_YEAR</vt:lpstr>
      <vt:lpstr>RowTitleRegion1..G2</vt:lpstr>
      <vt:lpstr>Título1</vt:lpstr>
      <vt:lpstr>Titulo2</vt:lpstr>
      <vt:lpstr>Titulo3</vt:lpstr>
      <vt:lpstr>Titulo4</vt:lpstr>
      <vt:lpstr>'Avance del ejercicio'!Títulos_a_imprimir</vt:lpstr>
      <vt:lpstr>'BENEFICENCIA Y PATROCINIOS'!Títulos_a_imprimir</vt:lpstr>
      <vt:lpstr>'Destino final de los recursos'!Títulos_a_imprimir</vt:lpstr>
      <vt:lpstr>'Fecha en la que se ejercen'!Títulos_a_imprimir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2019-10-28T21:06:26Z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